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35" tabRatio="777" activeTab="3"/>
  </bookViews>
  <sheets>
    <sheet name="OPĆI DIO-2022" sheetId="1" r:id="rId1"/>
    <sheet name="FP PiP 1-2022" sheetId="2" r:id="rId2"/>
    <sheet name="FP PiP 2-2023-24" sheetId="3" r:id="rId3"/>
    <sheet name="FP Ril-2022-23-24" sheetId="4" r:id="rId4"/>
  </sheets>
  <definedNames>
    <definedName name="_xlnm.Print_Area" localSheetId="1">'FP PiP 1-2022'!$A$1:$I$40</definedName>
    <definedName name="_xlnm.Print_Titles" localSheetId="3">'FP Ril-2022-23-24'!$4:$5</definedName>
  </definedNames>
  <calcPr fullCalcOnLoad="1"/>
</workbook>
</file>

<file path=xl/sharedStrings.xml><?xml version="1.0" encoding="utf-8"?>
<sst xmlns="http://schemas.openxmlformats.org/spreadsheetml/2006/main" count="192" uniqueCount="142">
  <si>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</si>
  <si>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</si>
  <si>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</si>
  <si>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</si>
  <si>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</si>
  <si>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</si>
  <si>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</si>
  <si>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</si>
  <si>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</si>
  <si>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</si>
  <si>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</si>
  <si>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</si>
  <si>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</si>
  <si>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</si>
  <si>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</si>
  <si>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</si>
  <si>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</si>
  <si>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</si>
  <si>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</si>
  <si>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</si>
  <si>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</si>
  <si>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6711-GRAD ZADAR</t>
  </si>
  <si>
    <t>6712-GRAD ZADAR</t>
  </si>
  <si>
    <t>6831-OSTALI PRIHODI</t>
  </si>
  <si>
    <t>(proračunski/izvanproračunski)       ZADAR, BRIBIRSKI PRILAZ 2.</t>
  </si>
  <si>
    <t xml:space="preserve">Korisnik proračuna              OSNOVNA ŠKOLA BARTULA KAŠIĆA </t>
  </si>
  <si>
    <t>RASHODI ZA ZAPOSLENE</t>
  </si>
  <si>
    <t>PLAĆE (BRUTO)</t>
  </si>
  <si>
    <t>Plaće za redovan rad</t>
  </si>
  <si>
    <t>Ostali rashodi za zaposlene</t>
  </si>
  <si>
    <t>Doprin.za zdrav.osiguranje</t>
  </si>
  <si>
    <t>MATERIJALNI RASHODI</t>
  </si>
  <si>
    <t>Službena putovanja</t>
  </si>
  <si>
    <t>Naknade za prijevoz</t>
  </si>
  <si>
    <t>Struč.usavršav.zaposlen.</t>
  </si>
  <si>
    <t>Ostale nakn.trošk.zaposl.</t>
  </si>
  <si>
    <t>Uredski mater.i ost.mat.rash.</t>
  </si>
  <si>
    <t>Energija</t>
  </si>
  <si>
    <t>Mat.i dij.za tek.i invest.održ.</t>
  </si>
  <si>
    <t>Sitni inventar i auto gume</t>
  </si>
  <si>
    <t>Služ.rad.i zašt.odj.i obuća</t>
  </si>
  <si>
    <t>Usluge telefona,pošte i prijev.</t>
  </si>
  <si>
    <t>Usl.tekuć.i invest.održavanja</t>
  </si>
  <si>
    <t>Usl.promidžbe i informir.</t>
  </si>
  <si>
    <t>Komunalne usluge</t>
  </si>
  <si>
    <t>Zakupnine i najamnine</t>
  </si>
  <si>
    <t>Zdravstvene usluge</t>
  </si>
  <si>
    <t>Intelektual.i osob.usluge</t>
  </si>
  <si>
    <t>Računalne usluge</t>
  </si>
  <si>
    <t>Ostale usluge</t>
  </si>
  <si>
    <t>Nakn.trošk,osob.izv.rad.odn.</t>
  </si>
  <si>
    <t>Nakn.članov.povjerenst.</t>
  </si>
  <si>
    <t>Premije osiguranja</t>
  </si>
  <si>
    <t>Reprezentacija</t>
  </si>
  <si>
    <t>Članarine</t>
  </si>
  <si>
    <t>Pristojbe i naknade</t>
  </si>
  <si>
    <t>Ostali nespom.rash.poslov.</t>
  </si>
  <si>
    <t>FINANCIJSKI RASHODI</t>
  </si>
  <si>
    <t>Bankar.usl.i usl.plat.prometa</t>
  </si>
  <si>
    <t>Zatezne kamate</t>
  </si>
  <si>
    <t>RASH.ZA NAB.DUGOT.IM.</t>
  </si>
  <si>
    <t>Uredska oprema i namještaj</t>
  </si>
  <si>
    <t>Dodat.ulag.na građev.objekt.</t>
  </si>
  <si>
    <t>Uređaji, strojevi i oprema za ostale namjene</t>
  </si>
  <si>
    <t>6526-UPL.UČEN.ZA MARENDE PB</t>
  </si>
  <si>
    <t>Oprema za održavanje i zaštitu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</si>
  <si>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</si>
  <si>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</si>
  <si>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</si>
  <si>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</si>
  <si>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</si>
  <si>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</si>
  <si>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</si>
  <si>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</si>
  <si>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</si>
  <si>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</si>
  <si>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</si>
  <si>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</si>
  <si>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od prodaje nefinancijjske imovine i naknade šteta s osnova osiguranja</t>
  </si>
  <si>
    <t>Namjenski primici od zaduživanja</t>
  </si>
  <si>
    <t>Prihodi od prodaje nefinancijske imovine i nadoknade šteta s osnova osiguranja</t>
  </si>
  <si>
    <t>Prihodi od nefinancijske imovine i nadoknade šteta s osnova osiguranja</t>
  </si>
  <si>
    <t xml:space="preserve">6615-NAJAM </t>
  </si>
  <si>
    <t>Komunikacijska oprema</t>
  </si>
  <si>
    <t>Sportska i glazbena oprema</t>
  </si>
  <si>
    <t>DODATNA ULAGANJA</t>
  </si>
  <si>
    <t>6413 - PRIPIS KAMATE</t>
  </si>
  <si>
    <t>6614-VLASTITI PRIHODI UZ MARAŠKA</t>
  </si>
  <si>
    <t>6631-DRUŠTVO PED.TEH.KULTURE</t>
  </si>
  <si>
    <t>6631-HŠŠS NATJECANJA</t>
  </si>
  <si>
    <t>Negativne teč. razlike</t>
  </si>
  <si>
    <t xml:space="preserve">Naziv </t>
  </si>
  <si>
    <t>RASHODI POSLOVANJA</t>
  </si>
  <si>
    <t>6361-ZD ŽUPANIJA NATJECANJA</t>
  </si>
  <si>
    <t>6415 -PRIHODI OD POZ.TEČ.RAZLIKA</t>
  </si>
  <si>
    <t>Opći prihodi i primici GRAD ZADAR</t>
  </si>
  <si>
    <t>Dodat.ulag.na postr. i opremi</t>
  </si>
  <si>
    <t>Tek. pom. tem. prij. EU sred.</t>
  </si>
  <si>
    <t>POM. DANE U INOZ. I UNUTAR OPĆEG PRORAČUNA</t>
  </si>
  <si>
    <t>Tek. prij. između pror. korisnika istog proračuna tem. prij. EU sredstava</t>
  </si>
  <si>
    <t>VIŠAK/MANJAK IZ PRETHODNE(IH) GODINE KOJI ĆE SE POKRITI/RASPOREDITI</t>
  </si>
  <si>
    <t>UKUPAN DONOS VIŠKA/MANJKA IZ PRETHODNE(IH) GODINA*</t>
  </si>
  <si>
    <t>*Napomena: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</si>
  <si>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6361-MZO - plaće, naknade</t>
  </si>
  <si>
    <t>6526-UPL.UČEN.ZA ŠTETE, RAZNO</t>
  </si>
  <si>
    <t>Materijal i sirovine</t>
  </si>
  <si>
    <t>NAKNADE GRAĐ I KUĆ NA TEM OSIG I DRUGE NAKNADE</t>
  </si>
  <si>
    <t>Naknade građ i kućanstvima u novcu</t>
  </si>
  <si>
    <t>PRIJEDLOG PLANA PRIHODA I PRIMITAKA</t>
  </si>
  <si>
    <t>PRIJEDLOG PLANA RASHODA I IZDATAKA</t>
  </si>
  <si>
    <t>6631/2-DON PRAVNIH I FIZ OSOBA</t>
  </si>
  <si>
    <t>6526-UPL ZA STRUČNE ISPITE HRV</t>
  </si>
  <si>
    <t>6361 - SHEMA VOĆA MLIJEKA</t>
  </si>
  <si>
    <t>6711-GRAD ZADAR RADNE BILJ, RAZNO</t>
  </si>
  <si>
    <t>3721/2</t>
  </si>
  <si>
    <t>2022.</t>
  </si>
  <si>
    <t>2023.</t>
  </si>
  <si>
    <t>PROJEKCIJA PLANA ZA
2023.</t>
  </si>
  <si>
    <t>639 Tek prijenosi PMN EU</t>
  </si>
  <si>
    <t>Knjige u knjižnici-udžbenici</t>
  </si>
  <si>
    <t>6361-AZOO, NCVVO, MZO STRUČNI</t>
  </si>
  <si>
    <t>PRIJEDLOG FINANCIJSKOG PLANA OŠ BARTULA KAŠIĆA  ZA 2022. I PROJEKCIJA PLANA ZA  2023. I 2024. GODINU</t>
  </si>
  <si>
    <t>Plan za 2022.</t>
  </si>
  <si>
    <t>Projekcija plana
za 2023.</t>
  </si>
  <si>
    <t>Projekcija plana 
za 2024.</t>
  </si>
  <si>
    <t>Ukupno prihodi i primici za 2022.</t>
  </si>
  <si>
    <t>PRIJEDLOG PLANA PRIHODA I PRIMITAKA 2023. i  2024.</t>
  </si>
  <si>
    <t>2024.</t>
  </si>
  <si>
    <t>Ukupno prihodi i primici za 2023. i 2024.</t>
  </si>
  <si>
    <t>PLAN ZA 2022.</t>
  </si>
  <si>
    <t>REZULTAT 2021.</t>
  </si>
  <si>
    <t>Pomoći ERASMUS+</t>
  </si>
  <si>
    <t>PROJEKCIJA PLANA ZA
2024.</t>
  </si>
  <si>
    <t>6381 ERASMUS+</t>
  </si>
  <si>
    <t>639 SHEMA VOĆA MLIJEKA</t>
  </si>
  <si>
    <t>639 Tek prijenosi PROJEKT PREHRANE</t>
  </si>
  <si>
    <t>6361/2 MZO KNJIGE ZA KNJIŽ, UDŽBENICI</t>
  </si>
  <si>
    <t>6361/2-MZO - mentorstva, TUR</t>
  </si>
  <si>
    <t>Pomoći Shema, PMN EU, Proj. Preh.</t>
  </si>
  <si>
    <t>922 Višak prihoda iz 2021.</t>
  </si>
  <si>
    <t>Sveukupno prihodi+višak</t>
  </si>
  <si>
    <t>Pomoći MZO, AZOO, NCVVO, ŽUP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</si>
</sst>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.00\ &quot;kn&quot;"/>
    <numFmt numFmtId="168" formatCode="#,##0.00\ _k_n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[$€-2]\ #,##0.00_);[Red]\([$€-2]\ #,##0.00\)"/>
    <numFmt numFmtId="173" formatCode="#,##0\ &quot;kn&quot;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/>
      <bottom style="thin"/>
    </border>
    <border>
      <left/>
      <right/>
      <top style="hair">
        <color indexed="22"/>
      </top>
      <bottom style="hair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11" xfId="0" applyFont="1" applyFill="1" applyBorder="1" applyAlignment="1">
      <alignment horizontal="center"/>
    </xf>
    <xf numFmtId="0" fontId="6" fillId="1" borderId="12" xfId="0" applyFont="1" applyFill="1" applyBorder="1" applyAlignment="1">
      <alignment horizontal="right" vertical="center" wrapText="1"/>
    </xf>
    <xf numFmtId="0" fontId="6" fillId="1" borderId="13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4" fillId="1" borderId="11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right" vertical="center" wrapText="1"/>
    </xf>
    <xf numFmtId="0" fontId="4" fillId="1" borderId="13" xfId="0" applyFont="1" applyFill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left"/>
    </xf>
    <xf numFmtId="0" fontId="6" fillId="0" borderId="15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3" fontId="11" fillId="0" borderId="0" xfId="0" applyNumberFormat="1" applyFont="1" applyFill="1" applyBorder="1" applyAlignment="1" quotePrefix="1">
      <alignment horizontal="left"/>
    </xf>
    <xf numFmtId="0" fontId="6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 quotePrefix="1">
      <alignment horizontal="center" wrapText="1"/>
    </xf>
    <xf numFmtId="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7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 quotePrefix="1">
      <alignment horizontal="left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15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 quotePrefix="1">
      <alignment horizontal="center" vertical="center"/>
    </xf>
    <xf numFmtId="3" fontId="6" fillId="0" borderId="15" xfId="0" applyNumberFormat="1" applyFont="1" applyBorder="1" applyAlignment="1" quotePrefix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6" fillId="0" borderId="18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/>
      <protection/>
    </xf>
    <xf numFmtId="4" fontId="3" fillId="0" borderId="14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3" fontId="17" fillId="0" borderId="20" xfId="0" applyNumberFormat="1" applyFont="1" applyFill="1" applyBorder="1" applyAlignment="1" applyProtection="1">
      <alignment horizontal="center" wrapText="1"/>
      <protection/>
    </xf>
    <xf numFmtId="0" fontId="5" fillId="0" borderId="24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17" fillId="0" borderId="20" xfId="0" applyNumberFormat="1" applyFont="1" applyFill="1" applyBorder="1" applyAlignment="1" applyProtection="1">
      <alignment horizontal="center" wrapText="1"/>
      <protection/>
    </xf>
    <xf numFmtId="0" fontId="0" fillId="0" borderId="25" xfId="0" applyFont="1" applyBorder="1" applyAlignment="1">
      <alignment/>
    </xf>
    <xf numFmtId="3" fontId="18" fillId="0" borderId="17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wrapText="1"/>
    </xf>
    <xf numFmtId="3" fontId="16" fillId="2" borderId="20" xfId="0" applyNumberFormat="1" applyFont="1" applyFill="1" applyBorder="1" applyAlignment="1" applyProtection="1">
      <alignment horizontal="center" wrapText="1"/>
      <protection/>
    </xf>
    <xf numFmtId="3" fontId="16" fillId="2" borderId="20" xfId="0" applyNumberFormat="1" applyFont="1" applyFill="1" applyBorder="1" applyAlignment="1" applyProtection="1">
      <alignment horizontal="right" wrapText="1"/>
      <protection/>
    </xf>
    <xf numFmtId="0" fontId="17" fillId="2" borderId="22" xfId="0" applyNumberFormat="1" applyFont="1" applyFill="1" applyBorder="1" applyAlignment="1" applyProtection="1">
      <alignment horizontal="center" wrapText="1"/>
      <protection/>
    </xf>
    <xf numFmtId="0" fontId="17" fillId="2" borderId="20" xfId="0" applyNumberFormat="1" applyFont="1" applyFill="1" applyBorder="1" applyAlignment="1" applyProtection="1">
      <alignment horizontal="center" vertical="center" wrapText="1"/>
      <protection/>
    </xf>
    <xf numFmtId="3" fontId="16" fillId="2" borderId="20" xfId="0" applyNumberFormat="1" applyFont="1" applyFill="1" applyBorder="1" applyAlignment="1">
      <alignment horizontal="right"/>
    </xf>
    <xf numFmtId="0" fontId="68" fillId="0" borderId="0" xfId="0" applyFont="1" applyAlignment="1">
      <alignment horizontal="center" wrapText="1"/>
    </xf>
    <xf numFmtId="3" fontId="68" fillId="0" borderId="0" xfId="0" applyNumberFormat="1" applyFont="1" applyAlignment="1">
      <alignment/>
    </xf>
    <xf numFmtId="3" fontId="69" fillId="0" borderId="0" xfId="0" applyNumberFormat="1" applyFont="1" applyFill="1" applyBorder="1" applyAlignment="1" quotePrefix="1">
      <alignment horizontal="left"/>
    </xf>
    <xf numFmtId="0" fontId="70" fillId="0" borderId="17" xfId="0" applyNumberFormat="1" applyFont="1" applyBorder="1" applyAlignment="1">
      <alignment horizontal="center" wrapText="1"/>
    </xf>
    <xf numFmtId="3" fontId="7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0" fontId="70" fillId="0" borderId="0" xfId="0" applyFont="1" applyAlignment="1">
      <alignment/>
    </xf>
    <xf numFmtId="0" fontId="70" fillId="0" borderId="0" xfId="0" applyNumberFormat="1" applyFont="1" applyBorder="1" applyAlignment="1">
      <alignment horizontal="center"/>
    </xf>
    <xf numFmtId="0" fontId="70" fillId="0" borderId="19" xfId="0" applyNumberFormat="1" applyFont="1" applyBorder="1" applyAlignment="1">
      <alignment horizontal="center"/>
    </xf>
    <xf numFmtId="3" fontId="70" fillId="0" borderId="15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 wrapText="1"/>
    </xf>
    <xf numFmtId="3" fontId="17" fillId="2" borderId="22" xfId="0" applyNumberFormat="1" applyFont="1" applyFill="1" applyBorder="1" applyAlignment="1">
      <alignment horizontal="center"/>
    </xf>
    <xf numFmtId="3" fontId="17" fillId="2" borderId="20" xfId="0" applyNumberFormat="1" applyFont="1" applyFill="1" applyBorder="1" applyAlignment="1" applyProtection="1">
      <alignment horizontal="center" wrapText="1"/>
      <protection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 wrapText="1"/>
    </xf>
    <xf numFmtId="3" fontId="17" fillId="2" borderId="22" xfId="0" applyNumberFormat="1" applyFont="1" applyFill="1" applyBorder="1" applyAlignment="1" applyProtection="1">
      <alignment horizontal="center" wrapText="1"/>
      <protection/>
    </xf>
    <xf numFmtId="4" fontId="6" fillId="0" borderId="0" xfId="0" applyNumberFormat="1" applyFont="1" applyAlignment="1">
      <alignment vertical="center"/>
    </xf>
    <xf numFmtId="4" fontId="70" fillId="0" borderId="0" xfId="0" applyNumberFormat="1" applyFont="1" applyAlignment="1">
      <alignment vertical="center"/>
    </xf>
    <xf numFmtId="4" fontId="68" fillId="0" borderId="18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70" fillId="0" borderId="18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68" fillId="0" borderId="0" xfId="0" applyNumberFormat="1" applyFont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70" fillId="0" borderId="15" xfId="0" applyNumberFormat="1" applyFont="1" applyBorder="1" applyAlignment="1">
      <alignment vertical="center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70" fillId="0" borderId="18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0" fontId="68" fillId="0" borderId="0" xfId="0" applyFont="1" applyFill="1" applyAlignment="1">
      <alignment horizontal="center" wrapText="1"/>
    </xf>
    <xf numFmtId="0" fontId="71" fillId="0" borderId="0" xfId="0" applyFont="1" applyFill="1" applyAlignment="1">
      <alignment horizontal="center" wrapText="1"/>
    </xf>
    <xf numFmtId="3" fontId="68" fillId="0" borderId="16" xfId="0" applyNumberFormat="1" applyFont="1" applyFill="1" applyBorder="1" applyAlignment="1">
      <alignment wrapText="1"/>
    </xf>
    <xf numFmtId="3" fontId="68" fillId="0" borderId="0" xfId="0" applyNumberFormat="1" applyFont="1" applyFill="1" applyAlignment="1">
      <alignment/>
    </xf>
    <xf numFmtId="3" fontId="71" fillId="0" borderId="0" xfId="0" applyNumberFormat="1" applyFont="1" applyFill="1" applyAlignment="1">
      <alignment/>
    </xf>
    <xf numFmtId="3" fontId="68" fillId="0" borderId="0" xfId="0" applyNumberFormat="1" applyFont="1" applyFill="1" applyAlignment="1">
      <alignment wrapText="1"/>
    </xf>
    <xf numFmtId="3" fontId="69" fillId="0" borderId="0" xfId="0" applyNumberFormat="1" applyFont="1" applyFill="1" applyBorder="1" applyAlignment="1" quotePrefix="1">
      <alignment horizontal="left" wrapText="1"/>
    </xf>
    <xf numFmtId="3" fontId="72" fillId="0" borderId="0" xfId="0" applyNumberFormat="1" applyFont="1" applyFill="1" applyBorder="1" applyAlignment="1" quotePrefix="1">
      <alignment horizontal="left"/>
    </xf>
    <xf numFmtId="0" fontId="70" fillId="0" borderId="17" xfId="0" applyNumberFormat="1" applyFont="1" applyFill="1" applyBorder="1" applyAlignment="1">
      <alignment horizontal="center" wrapText="1"/>
    </xf>
    <xf numFmtId="0" fontId="73" fillId="0" borderId="17" xfId="0" applyNumberFormat="1" applyFont="1" applyFill="1" applyBorder="1" applyAlignment="1">
      <alignment horizontal="center" wrapText="1"/>
    </xf>
    <xf numFmtId="0" fontId="70" fillId="0" borderId="17" xfId="0" applyNumberFormat="1" applyFont="1" applyFill="1" applyBorder="1" applyAlignment="1">
      <alignment horizontal="center"/>
    </xf>
    <xf numFmtId="0" fontId="73" fillId="0" borderId="17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Fill="1" applyAlignment="1">
      <alignment vertical="center"/>
    </xf>
    <xf numFmtId="4" fontId="68" fillId="0" borderId="18" xfId="0" applyNumberFormat="1" applyFont="1" applyFill="1" applyBorder="1" applyAlignment="1">
      <alignment vertical="center"/>
    </xf>
    <xf numFmtId="4" fontId="71" fillId="0" borderId="18" xfId="0" applyNumberFormat="1" applyFont="1" applyFill="1" applyBorder="1" applyAlignment="1">
      <alignment vertical="center"/>
    </xf>
    <xf numFmtId="4" fontId="68" fillId="0" borderId="0" xfId="0" applyNumberFormat="1" applyFont="1" applyFill="1" applyAlignment="1">
      <alignment vertical="center"/>
    </xf>
    <xf numFmtId="4" fontId="71" fillId="0" borderId="0" xfId="0" applyNumberFormat="1" applyFont="1" applyFill="1" applyAlignment="1">
      <alignment vertical="center"/>
    </xf>
    <xf numFmtId="4" fontId="70" fillId="0" borderId="15" xfId="0" applyNumberFormat="1" applyFont="1" applyFill="1" applyBorder="1" applyAlignment="1">
      <alignment vertical="center"/>
    </xf>
    <xf numFmtId="3" fontId="17" fillId="0" borderId="20" xfId="0" applyNumberFormat="1" applyFont="1" applyBorder="1" applyAlignment="1">
      <alignment horizontal="center"/>
    </xf>
    <xf numFmtId="167" fontId="74" fillId="0" borderId="20" xfId="0" applyNumberFormat="1" applyFont="1" applyFill="1" applyBorder="1" applyAlignment="1">
      <alignment horizontal="right" vertical="center" wrapText="1"/>
    </xf>
    <xf numFmtId="167" fontId="74" fillId="0" borderId="31" xfId="0" applyNumberFormat="1" applyFont="1" applyFill="1" applyBorder="1" applyAlignment="1">
      <alignment horizontal="right" vertical="center"/>
    </xf>
    <xf numFmtId="167" fontId="74" fillId="0" borderId="20" xfId="0" applyNumberFormat="1" applyFont="1" applyFill="1" applyBorder="1" applyAlignment="1">
      <alignment/>
    </xf>
    <xf numFmtId="167" fontId="74" fillId="0" borderId="20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5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167" fontId="75" fillId="0" borderId="31" xfId="0" applyNumberFormat="1" applyFont="1" applyBorder="1" applyAlignment="1">
      <alignment horizontal="right" vertical="center" wrapText="1"/>
    </xf>
    <xf numFmtId="167" fontId="75" fillId="0" borderId="31" xfId="0" applyNumberFormat="1" applyFont="1" applyBorder="1" applyAlignment="1">
      <alignment horizontal="center" wrapText="1"/>
    </xf>
    <xf numFmtId="167" fontId="75" fillId="0" borderId="31" xfId="0" applyNumberFormat="1" applyFont="1" applyBorder="1" applyAlignment="1">
      <alignment horizontal="center" vertical="center" wrapText="1"/>
    </xf>
    <xf numFmtId="167" fontId="75" fillId="0" borderId="32" xfId="0" applyNumberFormat="1" applyFont="1" applyBorder="1" applyAlignment="1">
      <alignment horizontal="center" vertical="center" wrapText="1"/>
    </xf>
    <xf numFmtId="167" fontId="75" fillId="0" borderId="33" xfId="0" applyNumberFormat="1" applyFont="1" applyBorder="1" applyAlignment="1">
      <alignment horizontal="center" vertical="center" wrapText="1"/>
    </xf>
    <xf numFmtId="167" fontId="75" fillId="0" borderId="20" xfId="0" applyNumberFormat="1" applyFont="1" applyBorder="1" applyAlignment="1">
      <alignment horizontal="right"/>
    </xf>
    <xf numFmtId="167" fontId="75" fillId="0" borderId="20" xfId="0" applyNumberFormat="1" applyFont="1" applyBorder="1" applyAlignment="1">
      <alignment/>
    </xf>
    <xf numFmtId="167" fontId="75" fillId="0" borderId="20" xfId="0" applyNumberFormat="1" applyFont="1" applyFill="1" applyBorder="1" applyAlignment="1">
      <alignment/>
    </xf>
    <xf numFmtId="167" fontId="75" fillId="0" borderId="22" xfId="0" applyNumberFormat="1" applyFont="1" applyBorder="1" applyAlignment="1">
      <alignment/>
    </xf>
    <xf numFmtId="167" fontId="75" fillId="0" borderId="23" xfId="0" applyNumberFormat="1" applyFont="1" applyBorder="1" applyAlignment="1">
      <alignment/>
    </xf>
    <xf numFmtId="167" fontId="75" fillId="0" borderId="20" xfId="0" applyNumberFormat="1" applyFont="1" applyFill="1" applyBorder="1" applyAlignment="1">
      <alignment horizontal="right"/>
    </xf>
    <xf numFmtId="167" fontId="75" fillId="0" borderId="27" xfId="0" applyNumberFormat="1" applyFont="1" applyBorder="1" applyAlignment="1">
      <alignment/>
    </xf>
    <xf numFmtId="167" fontId="75" fillId="0" borderId="28" xfId="0" applyNumberFormat="1" applyFont="1" applyBorder="1" applyAlignment="1">
      <alignment/>
    </xf>
    <xf numFmtId="167" fontId="75" fillId="0" borderId="29" xfId="0" applyNumberFormat="1" applyFont="1" applyBorder="1" applyAlignment="1">
      <alignment/>
    </xf>
    <xf numFmtId="0" fontId="75" fillId="0" borderId="26" xfId="0" applyFont="1" applyBorder="1" applyAlignment="1">
      <alignment/>
    </xf>
    <xf numFmtId="3" fontId="76" fillId="0" borderId="15" xfId="0" applyNumberFormat="1" applyFont="1" applyFill="1" applyBorder="1" applyAlignment="1">
      <alignment horizontal="center" vertical="center" wrapText="1"/>
    </xf>
    <xf numFmtId="167" fontId="5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7" fontId="5" fillId="0" borderId="23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4" fontId="68" fillId="0" borderId="0" xfId="0" applyNumberFormat="1" applyFont="1" applyAlignment="1">
      <alignment/>
    </xf>
    <xf numFmtId="0" fontId="16" fillId="0" borderId="22" xfId="0" applyFont="1" applyBorder="1" applyAlignment="1" quotePrefix="1">
      <alignment horizontal="center" wrapText="1"/>
    </xf>
    <xf numFmtId="0" fontId="16" fillId="0" borderId="15" xfId="0" applyFont="1" applyBorder="1" applyAlignment="1" quotePrefix="1">
      <alignment horizontal="center" wrapText="1"/>
    </xf>
    <xf numFmtId="0" fontId="16" fillId="0" borderId="19" xfId="0" applyFont="1" applyBorder="1" applyAlignment="1" quotePrefix="1">
      <alignment horizontal="center" wrapText="1"/>
    </xf>
    <xf numFmtId="0" fontId="22" fillId="0" borderId="0" xfId="0" applyFont="1" applyAlignment="1">
      <alignment horizontal="left" wrapText="1"/>
    </xf>
    <xf numFmtId="0" fontId="16" fillId="0" borderId="15" xfId="0" applyFont="1" applyBorder="1" applyAlignment="1" quotePrefix="1">
      <alignment horizontal="center"/>
    </xf>
    <xf numFmtId="0" fontId="16" fillId="0" borderId="19" xfId="0" applyFont="1" applyBorder="1" applyAlignment="1" quotePrefix="1">
      <alignment horizontal="center"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wrapText="1"/>
      <protection/>
    </xf>
    <xf numFmtId="0" fontId="4" fillId="2" borderId="22" xfId="0" applyNumberFormat="1" applyFont="1" applyFill="1" applyBorder="1" applyAlignment="1" applyProtection="1" quotePrefix="1">
      <alignment horizontal="left" wrapText="1"/>
      <protection/>
    </xf>
    <xf numFmtId="0" fontId="5" fillId="2" borderId="15" xfId="0" applyNumberFormat="1" applyFont="1" applyFill="1" applyBorder="1" applyAlignment="1" applyProtection="1">
      <alignment wrapText="1"/>
      <protection/>
    </xf>
    <xf numFmtId="0" fontId="16" fillId="2" borderId="22" xfId="0" applyNumberFormat="1" applyFont="1" applyFill="1" applyBorder="1" applyAlignment="1" applyProtection="1">
      <alignment horizontal="left" wrapText="1"/>
      <protection/>
    </xf>
    <xf numFmtId="0" fontId="14" fillId="2" borderId="15" xfId="0" applyNumberFormat="1" applyFont="1" applyFill="1" applyBorder="1" applyAlignment="1" applyProtection="1">
      <alignment wrapText="1"/>
      <protection/>
    </xf>
    <xf numFmtId="0" fontId="13" fillId="2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8" fillId="2" borderId="22" xfId="0" applyNumberFormat="1" applyFont="1" applyFill="1" applyBorder="1" applyAlignment="1" applyProtection="1">
      <alignment horizontal="left" wrapText="1"/>
      <protection/>
    </xf>
    <xf numFmtId="0" fontId="19" fillId="2" borderId="15" xfId="0" applyNumberFormat="1" applyFont="1" applyFill="1" applyBorder="1" applyAlignment="1" applyProtection="1">
      <alignment wrapText="1"/>
      <protection/>
    </xf>
    <xf numFmtId="0" fontId="19" fillId="2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 quotePrefix="1">
      <alignment horizontal="left"/>
    </xf>
    <xf numFmtId="0" fontId="18" fillId="2" borderId="22" xfId="0" applyFont="1" applyFill="1" applyBorder="1" applyAlignment="1">
      <alignment horizontal="left"/>
    </xf>
    <xf numFmtId="0" fontId="18" fillId="2" borderId="15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4" fillId="0" borderId="22" xfId="0" applyNumberFormat="1" applyFont="1" applyFill="1" applyBorder="1" applyAlignment="1" applyProtection="1" quotePrefix="1">
      <alignment horizontal="left"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2" borderId="22" xfId="0" applyFont="1" applyFill="1" applyBorder="1" applyAlignment="1">
      <alignment horizontal="left" wrapText="1"/>
    </xf>
    <xf numFmtId="0" fontId="16" fillId="2" borderId="15" xfId="0" applyFont="1" applyFill="1" applyBorder="1" applyAlignment="1" quotePrefix="1">
      <alignment horizontal="left" wrapText="1"/>
    </xf>
    <xf numFmtId="0" fontId="16" fillId="2" borderId="19" xfId="0" applyFont="1" applyFill="1" applyBorder="1" applyAlignment="1" quotePrefix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7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7" fontId="4" fillId="0" borderId="38" xfId="0" applyNumberFormat="1" applyFont="1" applyBorder="1" applyAlignment="1">
      <alignment horizontal="center"/>
    </xf>
    <xf numFmtId="167" fontId="4" fillId="0" borderId="39" xfId="0" applyNumberFormat="1" applyFont="1" applyBorder="1" applyAlignment="1">
      <alignment horizontal="center"/>
    </xf>
    <xf numFmtId="167" fontId="4" fillId="0" borderId="40" xfId="0" applyNumberFormat="1" applyFont="1" applyBorder="1" applyAlignment="1">
      <alignment horizontal="center"/>
    </xf>
    <xf numFmtId="0" fontId="5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0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66675</xdr:rowOff>
    </xdr:from>
    <xdr:to>
      <xdr:col>0</xdr:col>
      <xdr:colOff>2390775</xdr:colOff>
      <xdr:row>8</xdr:row>
      <xdr:rowOff>581025</xdr:rowOff>
    </xdr:to>
    <xdr:sp>
      <xdr:nvSpPr>
        <xdr:cNvPr id="1" name="Line 1"/>
        <xdr:cNvSpPr>
          <a:spLocks/>
        </xdr:cNvSpPr>
      </xdr:nvSpPr>
      <xdr:spPr>
        <a:xfrm>
          <a:off x="219075" y="1038225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2781300</xdr:colOff>
      <xdr:row>8</xdr:row>
      <xdr:rowOff>742950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27813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120" zoomScaleNormal="120" zoomScalePageLayoutView="0" workbookViewId="0" topLeftCell="A1">
      <selection activeCell="H11" sqref="H11"/>
    </sheetView>
  </sheetViews>
  <sheetFormatPr defaultColWidth="9.140625" defaultRowHeight="12.75"/>
  <cols>
    <col min="5" max="5" width="31.28125" style="0" customWidth="1"/>
    <col min="6" max="6" width="24.7109375" style="0" customWidth="1"/>
    <col min="7" max="7" width="26.00390625" style="0" customWidth="1"/>
    <col min="8" max="8" width="33.7109375" style="0" customWidth="1"/>
  </cols>
  <sheetData>
    <row r="1" spans="1:8" s="48" customFormat="1" ht="69" customHeight="1">
      <c r="A1" s="193" t="s">
        <v>121</v>
      </c>
      <c r="B1" s="193"/>
      <c r="C1" s="193"/>
      <c r="D1" s="193"/>
      <c r="E1" s="193"/>
      <c r="F1" s="193"/>
      <c r="G1" s="193"/>
      <c r="H1" s="193"/>
    </row>
    <row r="2" spans="1:8" s="49" customFormat="1" ht="51.75" customHeight="1">
      <c r="A2" s="193" t="s">
        <v>66</v>
      </c>
      <c r="B2" s="193"/>
      <c r="C2" s="193"/>
      <c r="D2" s="193"/>
      <c r="E2" s="193"/>
      <c r="F2" s="193"/>
      <c r="G2" s="194"/>
      <c r="H2" s="194"/>
    </row>
    <row r="3" spans="1:8" s="48" customFormat="1" ht="24.75" customHeight="1">
      <c r="A3" s="193"/>
      <c r="B3" s="193"/>
      <c r="C3" s="193"/>
      <c r="D3" s="193"/>
      <c r="E3" s="193"/>
      <c r="F3" s="193"/>
      <c r="G3" s="193"/>
      <c r="H3" s="195"/>
    </row>
    <row r="4" spans="1:5" s="48" customFormat="1" ht="14.25" customHeight="1">
      <c r="A4" s="50"/>
      <c r="B4" s="51"/>
      <c r="C4" s="51"/>
      <c r="D4" s="51"/>
      <c r="E4" s="51"/>
    </row>
    <row r="5" spans="1:9" s="48" customFormat="1" ht="49.5" customHeight="1">
      <c r="A5" s="180"/>
      <c r="B5" s="181"/>
      <c r="C5" s="181"/>
      <c r="D5" s="181"/>
      <c r="E5" s="182"/>
      <c r="F5" s="69" t="s">
        <v>122</v>
      </c>
      <c r="G5" s="69" t="s">
        <v>123</v>
      </c>
      <c r="H5" s="52" t="s">
        <v>124</v>
      </c>
      <c r="I5" s="53"/>
    </row>
    <row r="6" spans="1:9" s="48" customFormat="1" ht="44.25" customHeight="1">
      <c r="A6" s="196" t="s">
        <v>67</v>
      </c>
      <c r="B6" s="197"/>
      <c r="C6" s="197"/>
      <c r="D6" s="197"/>
      <c r="E6" s="198"/>
      <c r="F6" s="76">
        <f>F7+F8</f>
        <v>21360656.07</v>
      </c>
      <c r="G6" s="76">
        <f>G7+G8</f>
        <v>21390656.07</v>
      </c>
      <c r="H6" s="76">
        <f>H7+H8</f>
        <v>21390656.07</v>
      </c>
      <c r="I6" s="54"/>
    </row>
    <row r="7" spans="1:8" s="48" customFormat="1" ht="38.25" customHeight="1">
      <c r="A7" s="186" t="s">
        <v>68</v>
      </c>
      <c r="B7" s="187"/>
      <c r="C7" s="187"/>
      <c r="D7" s="187"/>
      <c r="E7" s="199"/>
      <c r="F7" s="66">
        <f>'FP PiP 1-2022'!B35+'FP PiP 1-2022'!C35+'FP PiP 1-2022'!D35+'FP PiP 1-2022'!E35+'FP PiP 1-2022'!F35</f>
        <v>21360656.07</v>
      </c>
      <c r="G7" s="66">
        <v>21390656.07</v>
      </c>
      <c r="H7" s="66">
        <v>21390656.07</v>
      </c>
    </row>
    <row r="8" spans="1:8" s="48" customFormat="1" ht="37.5" customHeight="1">
      <c r="A8" s="200" t="s">
        <v>69</v>
      </c>
      <c r="B8" s="199"/>
      <c r="C8" s="199"/>
      <c r="D8" s="199"/>
      <c r="E8" s="199"/>
      <c r="F8" s="148"/>
      <c r="G8" s="55"/>
      <c r="H8" s="55"/>
    </row>
    <row r="9" spans="1:8" s="48" customFormat="1" ht="36" customHeight="1">
      <c r="A9" s="201" t="s">
        <v>70</v>
      </c>
      <c r="B9" s="202"/>
      <c r="C9" s="202"/>
      <c r="D9" s="202"/>
      <c r="E9" s="203"/>
      <c r="F9" s="76">
        <f>F10+F11</f>
        <v>21533637.97</v>
      </c>
      <c r="G9" s="76">
        <f>G10+G11</f>
        <v>21390656.07</v>
      </c>
      <c r="H9" s="76">
        <f>H10+H11</f>
        <v>21390656.07</v>
      </c>
    </row>
    <row r="10" spans="1:8" s="48" customFormat="1" ht="34.5" customHeight="1">
      <c r="A10" s="204" t="s">
        <v>71</v>
      </c>
      <c r="B10" s="187"/>
      <c r="C10" s="187"/>
      <c r="D10" s="187"/>
      <c r="E10" s="205"/>
      <c r="F10" s="66">
        <f>'FP Ril-2022-23-24'!C12+'FP Ril-2022-23-24'!C19+'FP Ril-2022-23-24'!C49+'FP Ril-2022-23-24'!C55+'FP Ril-2022-23-24'!C59</f>
        <v>20327637.97</v>
      </c>
      <c r="G10" s="66">
        <v>20213656.07</v>
      </c>
      <c r="H10" s="66">
        <v>20213656.07</v>
      </c>
    </row>
    <row r="11" spans="1:8" s="48" customFormat="1" ht="34.5" customHeight="1">
      <c r="A11" s="200" t="s">
        <v>72</v>
      </c>
      <c r="B11" s="199"/>
      <c r="C11" s="199"/>
      <c r="D11" s="199"/>
      <c r="E11" s="199"/>
      <c r="F11" s="66">
        <f>'FP Ril-2022-23-24'!C62+'FP Ril-2022-23-24'!C69</f>
        <v>1206000</v>
      </c>
      <c r="G11" s="66">
        <v>1177000</v>
      </c>
      <c r="H11" s="66">
        <v>1177000</v>
      </c>
    </row>
    <row r="12" spans="1:8" s="48" customFormat="1" ht="35.25" customHeight="1">
      <c r="A12" s="188" t="s">
        <v>73</v>
      </c>
      <c r="B12" s="189"/>
      <c r="C12" s="189"/>
      <c r="D12" s="189"/>
      <c r="E12" s="189"/>
      <c r="F12" s="77">
        <f>+F6-F9</f>
        <v>-172981.8999999985</v>
      </c>
      <c r="G12" s="77">
        <f>+G6-G9</f>
        <v>0</v>
      </c>
      <c r="H12" s="77">
        <f>+H6-H9</f>
        <v>0</v>
      </c>
    </row>
    <row r="13" spans="1:8" s="48" customFormat="1" ht="39.75" customHeight="1">
      <c r="A13" s="193"/>
      <c r="B13" s="207"/>
      <c r="C13" s="207"/>
      <c r="D13" s="207"/>
      <c r="E13" s="207"/>
      <c r="F13" s="195"/>
      <c r="G13" s="195"/>
      <c r="H13" s="195"/>
    </row>
    <row r="14" spans="1:8" s="48" customFormat="1" ht="45" customHeight="1">
      <c r="A14" s="180"/>
      <c r="B14" s="181"/>
      <c r="C14" s="181"/>
      <c r="D14" s="181"/>
      <c r="E14" s="182"/>
      <c r="F14" s="69" t="s">
        <v>122</v>
      </c>
      <c r="G14" s="69" t="s">
        <v>123</v>
      </c>
      <c r="H14" s="52" t="s">
        <v>124</v>
      </c>
    </row>
    <row r="15" spans="1:8" s="48" customFormat="1" ht="45" customHeight="1">
      <c r="A15" s="208" t="s">
        <v>101</v>
      </c>
      <c r="B15" s="209"/>
      <c r="C15" s="209"/>
      <c r="D15" s="209"/>
      <c r="E15" s="210"/>
      <c r="F15" s="97">
        <v>172981.9</v>
      </c>
      <c r="G15" s="78">
        <v>0</v>
      </c>
      <c r="H15" s="79">
        <v>0</v>
      </c>
    </row>
    <row r="16" spans="1:8" s="48" customFormat="1" ht="42.75" customHeight="1">
      <c r="A16" s="190" t="s">
        <v>100</v>
      </c>
      <c r="B16" s="191"/>
      <c r="C16" s="191"/>
      <c r="D16" s="191"/>
      <c r="E16" s="192"/>
      <c r="F16" s="92">
        <v>172981.9</v>
      </c>
      <c r="G16" s="92">
        <v>0</v>
      </c>
      <c r="H16" s="93">
        <v>0</v>
      </c>
    </row>
    <row r="17" spans="1:8" s="56" customFormat="1" ht="45.75" customHeight="1">
      <c r="A17" s="206"/>
      <c r="B17" s="207"/>
      <c r="C17" s="207"/>
      <c r="D17" s="207"/>
      <c r="E17" s="207"/>
      <c r="F17" s="195"/>
      <c r="G17" s="195"/>
      <c r="H17" s="195"/>
    </row>
    <row r="18" spans="1:8" s="56" customFormat="1" ht="47.25" customHeight="1">
      <c r="A18" s="180"/>
      <c r="B18" s="181"/>
      <c r="C18" s="181"/>
      <c r="D18" s="181"/>
      <c r="E18" s="182"/>
      <c r="F18" s="69" t="s">
        <v>122</v>
      </c>
      <c r="G18" s="69" t="s">
        <v>123</v>
      </c>
      <c r="H18" s="52" t="s">
        <v>124</v>
      </c>
    </row>
    <row r="19" spans="1:8" s="56" customFormat="1" ht="30" customHeight="1">
      <c r="A19" s="186" t="s">
        <v>74</v>
      </c>
      <c r="B19" s="187"/>
      <c r="C19" s="187"/>
      <c r="D19" s="187"/>
      <c r="E19" s="187"/>
      <c r="F19" s="55"/>
      <c r="G19" s="55"/>
      <c r="H19" s="55"/>
    </row>
    <row r="20" spans="1:8" s="56" customFormat="1" ht="30" customHeight="1">
      <c r="A20" s="186" t="s">
        <v>75</v>
      </c>
      <c r="B20" s="187"/>
      <c r="C20" s="187"/>
      <c r="D20" s="187"/>
      <c r="E20" s="187"/>
      <c r="F20" s="55"/>
      <c r="G20" s="55"/>
      <c r="H20" s="55"/>
    </row>
    <row r="21" spans="1:8" s="56" customFormat="1" ht="30" customHeight="1">
      <c r="A21" s="188" t="s">
        <v>76</v>
      </c>
      <c r="B21" s="189"/>
      <c r="C21" s="189"/>
      <c r="D21" s="189"/>
      <c r="E21" s="189"/>
      <c r="F21" s="80"/>
      <c r="G21" s="80"/>
      <c r="H21" s="80"/>
    </row>
    <row r="22" spans="1:8" s="56" customFormat="1" ht="32.25" customHeight="1">
      <c r="A22" s="184"/>
      <c r="B22" s="184"/>
      <c r="C22" s="184"/>
      <c r="D22" s="184"/>
      <c r="E22" s="185"/>
      <c r="F22" s="57"/>
      <c r="G22" s="57"/>
      <c r="H22" s="57"/>
    </row>
    <row r="23" spans="1:8" s="56" customFormat="1" ht="41.25" customHeight="1">
      <c r="A23" s="204" t="s">
        <v>77</v>
      </c>
      <c r="B23" s="187"/>
      <c r="C23" s="187"/>
      <c r="D23" s="187"/>
      <c r="E23" s="187"/>
      <c r="F23" s="55">
        <f>SUM(F12,F16,F21)</f>
        <v>1.4842953532934189E-09</v>
      </c>
      <c r="G23" s="55">
        <f>SUM(G12,G16,G21)</f>
        <v>0</v>
      </c>
      <c r="H23" s="55">
        <f>SUM(H12,H16,H21)</f>
        <v>0</v>
      </c>
    </row>
    <row r="26" spans="1:8" ht="31.5" customHeight="1">
      <c r="A26" s="183" t="s">
        <v>102</v>
      </c>
      <c r="B26" s="183"/>
      <c r="C26" s="183"/>
      <c r="D26" s="183"/>
      <c r="E26" s="183"/>
      <c r="F26" s="183"/>
      <c r="G26" s="183"/>
      <c r="H26" s="183"/>
    </row>
  </sheetData>
  <sheetProtection/>
  <mergeCells count="23">
    <mergeCell ref="A8:E8"/>
    <mergeCell ref="A9:E9"/>
    <mergeCell ref="A10:E10"/>
    <mergeCell ref="A18:E18"/>
    <mergeCell ref="A17:H17"/>
    <mergeCell ref="A23:E23"/>
    <mergeCell ref="A15:E15"/>
    <mergeCell ref="A11:E11"/>
    <mergeCell ref="A12:E12"/>
    <mergeCell ref="A13:H13"/>
    <mergeCell ref="A1:H1"/>
    <mergeCell ref="A2:H2"/>
    <mergeCell ref="A3:H3"/>
    <mergeCell ref="A6:E6"/>
    <mergeCell ref="A7:E7"/>
    <mergeCell ref="A5:E5"/>
    <mergeCell ref="A14:E14"/>
    <mergeCell ref="A26:H26"/>
    <mergeCell ref="A22:E22"/>
    <mergeCell ref="A19:E19"/>
    <mergeCell ref="A20:E20"/>
    <mergeCell ref="A21:E21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20">
      <selection activeCell="A1" sqref="A1:I38"/>
    </sheetView>
  </sheetViews>
  <sheetFormatPr defaultColWidth="9.140625" defaultRowHeight="12.75"/>
  <cols>
    <col min="1" max="1" width="42.421875" style="0" customWidth="1"/>
    <col min="2" max="2" width="25.2812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  <col min="12" max="12" width="30.421875" style="0" customWidth="1"/>
  </cols>
  <sheetData>
    <row r="1" ht="12" customHeight="1">
      <c r="H1" s="15" t="s">
        <v>13</v>
      </c>
    </row>
    <row r="3" spans="1:8" s="3" customFormat="1" ht="20.25">
      <c r="A3" s="227" t="s">
        <v>108</v>
      </c>
      <c r="B3" s="227"/>
      <c r="C3" s="227"/>
      <c r="D3" s="227"/>
      <c r="E3" s="227"/>
      <c r="F3" s="227"/>
      <c r="G3" s="227"/>
      <c r="H3" s="227"/>
    </row>
    <row r="4" spans="1:9" s="3" customFormat="1" ht="15.75" customHeight="1">
      <c r="A4" s="228"/>
      <c r="B4" s="229"/>
      <c r="C4" s="229"/>
      <c r="D4" s="229"/>
      <c r="E4" s="229"/>
      <c r="F4" s="229"/>
      <c r="G4" s="229"/>
      <c r="H4" s="229"/>
      <c r="I4" s="4"/>
    </row>
    <row r="5" s="3" customFormat="1" ht="15" hidden="1"/>
    <row r="6" s="3" customFormat="1" ht="15.75" thickBot="1">
      <c r="H6" s="9" t="s">
        <v>1</v>
      </c>
    </row>
    <row r="7" spans="1:8" s="3" customFormat="1" ht="16.5" thickBot="1">
      <c r="A7" s="10" t="s">
        <v>3</v>
      </c>
      <c r="B7" s="230" t="s">
        <v>115</v>
      </c>
      <c r="C7" s="231"/>
      <c r="D7" s="231"/>
      <c r="E7" s="231"/>
      <c r="F7" s="231"/>
      <c r="G7" s="231"/>
      <c r="H7" s="232"/>
    </row>
    <row r="8" spans="1:8" s="3" customFormat="1" ht="15.75" customHeight="1">
      <c r="A8" s="11" t="s">
        <v>17</v>
      </c>
      <c r="B8" s="233" t="s">
        <v>4</v>
      </c>
      <c r="C8" s="211" t="s">
        <v>5</v>
      </c>
      <c r="D8" s="211" t="s">
        <v>6</v>
      </c>
      <c r="E8" s="213" t="s">
        <v>7</v>
      </c>
      <c r="F8" s="213" t="s">
        <v>0</v>
      </c>
      <c r="G8" s="215" t="s">
        <v>78</v>
      </c>
      <c r="H8" s="217" t="s">
        <v>79</v>
      </c>
    </row>
    <row r="9" spans="1:8" s="3" customFormat="1" ht="60.75" customHeight="1" thickBot="1">
      <c r="A9" s="12" t="s">
        <v>16</v>
      </c>
      <c r="B9" s="234"/>
      <c r="C9" s="212"/>
      <c r="D9" s="212"/>
      <c r="E9" s="214"/>
      <c r="F9" s="214"/>
      <c r="G9" s="216"/>
      <c r="H9" s="218"/>
    </row>
    <row r="10" spans="1:8" s="3" customFormat="1" ht="30" customHeight="1">
      <c r="A10" s="68" t="s">
        <v>103</v>
      </c>
      <c r="B10" s="157"/>
      <c r="C10" s="158"/>
      <c r="D10" s="158"/>
      <c r="E10" s="149">
        <f>13020545+104000+60000+78000+20000+170000+10000+178500+15000+8315+2145676+350000+42000+5000</f>
        <v>16207036</v>
      </c>
      <c r="F10" s="159"/>
      <c r="G10" s="160"/>
      <c r="H10" s="161"/>
    </row>
    <row r="11" spans="1:13" s="3" customFormat="1" ht="30" customHeight="1">
      <c r="A11" s="67" t="s">
        <v>137</v>
      </c>
      <c r="B11" s="157"/>
      <c r="C11" s="158"/>
      <c r="D11" s="158"/>
      <c r="E11" s="150">
        <f>5184+10000</f>
        <v>15184</v>
      </c>
      <c r="F11" s="159"/>
      <c r="G11" s="160"/>
      <c r="H11" s="161"/>
      <c r="L11" s="156">
        <f>E10+E11+E12+E13+E14</f>
        <v>16754720</v>
      </c>
      <c r="M11" s="3">
        <v>636</v>
      </c>
    </row>
    <row r="12" spans="1:8" s="3" customFormat="1" ht="30" customHeight="1">
      <c r="A12" s="67" t="s">
        <v>136</v>
      </c>
      <c r="B12" s="157"/>
      <c r="C12" s="158"/>
      <c r="D12" s="158"/>
      <c r="E12" s="150">
        <f>10000+250000+250000</f>
        <v>510000</v>
      </c>
      <c r="F12" s="159"/>
      <c r="G12" s="160"/>
      <c r="H12" s="161"/>
    </row>
    <row r="13" spans="1:8" s="3" customFormat="1" ht="30" customHeight="1">
      <c r="A13" s="13" t="s">
        <v>120</v>
      </c>
      <c r="B13" s="162"/>
      <c r="C13" s="163"/>
      <c r="D13" s="163"/>
      <c r="E13" s="151">
        <f>8000+3500+500+500</f>
        <v>12500</v>
      </c>
      <c r="F13" s="163"/>
      <c r="G13" s="165"/>
      <c r="H13" s="166"/>
    </row>
    <row r="14" spans="1:8" s="3" customFormat="1" ht="30" customHeight="1">
      <c r="A14" s="13" t="s">
        <v>93</v>
      </c>
      <c r="B14" s="162"/>
      <c r="C14" s="163"/>
      <c r="D14" s="163"/>
      <c r="E14" s="151">
        <v>10000</v>
      </c>
      <c r="F14" s="163"/>
      <c r="G14" s="165"/>
      <c r="H14" s="166"/>
    </row>
    <row r="15" spans="1:8" s="3" customFormat="1" ht="30" customHeight="1">
      <c r="A15" s="13" t="s">
        <v>112</v>
      </c>
      <c r="B15" s="162"/>
      <c r="C15" s="163"/>
      <c r="D15" s="163"/>
      <c r="E15" s="151">
        <v>11800</v>
      </c>
      <c r="F15" s="163"/>
      <c r="G15" s="165"/>
      <c r="H15" s="166"/>
    </row>
    <row r="16" spans="1:8" s="3" customFormat="1" ht="30" customHeight="1">
      <c r="A16" s="13" t="s">
        <v>133</v>
      </c>
      <c r="B16" s="162"/>
      <c r="C16" s="163"/>
      <c r="D16" s="163"/>
      <c r="E16" s="151">
        <v>27533.57</v>
      </c>
      <c r="F16" s="163"/>
      <c r="G16" s="165"/>
      <c r="H16" s="166"/>
    </row>
    <row r="17" spans="1:8" s="3" customFormat="1" ht="30" customHeight="1">
      <c r="A17" s="13" t="s">
        <v>134</v>
      </c>
      <c r="B17" s="162"/>
      <c r="C17" s="163"/>
      <c r="D17" s="163"/>
      <c r="E17" s="151">
        <v>90200</v>
      </c>
      <c r="F17" s="163"/>
      <c r="G17" s="165"/>
      <c r="H17" s="166"/>
    </row>
    <row r="18" spans="1:8" s="3" customFormat="1" ht="30" customHeight="1">
      <c r="A18" s="13" t="s">
        <v>118</v>
      </c>
      <c r="B18" s="162"/>
      <c r="C18" s="163"/>
      <c r="D18" s="163"/>
      <c r="E18" s="151">
        <f>365000+36000+60000+31500+2250</f>
        <v>494750</v>
      </c>
      <c r="F18" s="163"/>
      <c r="G18" s="165"/>
      <c r="H18" s="166"/>
    </row>
    <row r="19" spans="1:8" s="3" customFormat="1" ht="30" customHeight="1">
      <c r="A19" s="13" t="s">
        <v>135</v>
      </c>
      <c r="B19" s="162"/>
      <c r="C19" s="163"/>
      <c r="D19" s="163"/>
      <c r="E19" s="151">
        <v>162732.5</v>
      </c>
      <c r="F19" s="163"/>
      <c r="G19" s="165"/>
      <c r="H19" s="166"/>
    </row>
    <row r="20" spans="1:8" s="3" customFormat="1" ht="30" customHeight="1">
      <c r="A20" s="13" t="s">
        <v>86</v>
      </c>
      <c r="B20" s="162"/>
      <c r="C20" s="151">
        <v>200</v>
      </c>
      <c r="D20" s="163"/>
      <c r="E20" s="163"/>
      <c r="F20" s="163"/>
      <c r="G20" s="165"/>
      <c r="H20" s="166"/>
    </row>
    <row r="21" spans="1:8" s="3" customFormat="1" ht="30" customHeight="1">
      <c r="A21" s="47" t="s">
        <v>94</v>
      </c>
      <c r="B21" s="162"/>
      <c r="C21" s="151">
        <v>1000</v>
      </c>
      <c r="D21" s="163"/>
      <c r="E21" s="163"/>
      <c r="F21" s="163"/>
      <c r="G21" s="165"/>
      <c r="H21" s="166"/>
    </row>
    <row r="22" spans="1:8" s="3" customFormat="1" ht="30" customHeight="1">
      <c r="A22" s="47" t="s">
        <v>64</v>
      </c>
      <c r="B22" s="162"/>
      <c r="C22" s="163"/>
      <c r="D22" s="151">
        <v>440000</v>
      </c>
      <c r="E22" s="163"/>
      <c r="F22" s="163"/>
      <c r="G22" s="165"/>
      <c r="H22" s="166"/>
    </row>
    <row r="23" spans="1:8" s="3" customFormat="1" ht="30" customHeight="1">
      <c r="A23" s="13" t="s">
        <v>104</v>
      </c>
      <c r="B23" s="162"/>
      <c r="C23" s="163"/>
      <c r="D23" s="151">
        <f>4000+15000</f>
        <v>19000</v>
      </c>
      <c r="E23" s="163"/>
      <c r="F23" s="163"/>
      <c r="G23" s="165"/>
      <c r="H23" s="166"/>
    </row>
    <row r="24" spans="1:8" s="3" customFormat="1" ht="30" customHeight="1">
      <c r="A24" s="13" t="s">
        <v>111</v>
      </c>
      <c r="B24" s="162"/>
      <c r="C24" s="163"/>
      <c r="D24" s="151">
        <v>8000</v>
      </c>
      <c r="E24" s="163"/>
      <c r="F24" s="163"/>
      <c r="G24" s="165"/>
      <c r="H24" s="166"/>
    </row>
    <row r="25" spans="1:8" s="3" customFormat="1" ht="30" customHeight="1">
      <c r="A25" s="13" t="s">
        <v>87</v>
      </c>
      <c r="B25" s="162"/>
      <c r="C25" s="151">
        <v>4000</v>
      </c>
      <c r="D25" s="163"/>
      <c r="E25" s="163"/>
      <c r="F25" s="163"/>
      <c r="G25" s="165"/>
      <c r="H25" s="166"/>
    </row>
    <row r="26" spans="1:8" s="3" customFormat="1" ht="30" customHeight="1">
      <c r="A26" s="13" t="s">
        <v>82</v>
      </c>
      <c r="B26" s="162"/>
      <c r="C26" s="151">
        <v>50000</v>
      </c>
      <c r="D26" s="163"/>
      <c r="E26" s="163"/>
      <c r="F26" s="163"/>
      <c r="G26" s="165"/>
      <c r="H26" s="166"/>
    </row>
    <row r="27" spans="1:8" s="3" customFormat="1" ht="30" customHeight="1">
      <c r="A27" s="13" t="s">
        <v>88</v>
      </c>
      <c r="B27" s="162"/>
      <c r="C27" s="163"/>
      <c r="D27" s="163"/>
      <c r="E27" s="163"/>
      <c r="F27" s="151">
        <v>200</v>
      </c>
      <c r="G27" s="165"/>
      <c r="H27" s="166"/>
    </row>
    <row r="28" spans="1:8" s="3" customFormat="1" ht="30" customHeight="1">
      <c r="A28" s="13" t="s">
        <v>110</v>
      </c>
      <c r="B28" s="162"/>
      <c r="C28" s="163"/>
      <c r="D28" s="163"/>
      <c r="E28" s="163"/>
      <c r="F28" s="151">
        <v>2000</v>
      </c>
      <c r="G28" s="165"/>
      <c r="H28" s="166"/>
    </row>
    <row r="29" spans="1:8" s="3" customFormat="1" ht="30" customHeight="1">
      <c r="A29" s="13" t="s">
        <v>89</v>
      </c>
      <c r="B29" s="162"/>
      <c r="C29" s="163"/>
      <c r="D29" s="163"/>
      <c r="E29" s="163"/>
      <c r="F29" s="151">
        <v>2000</v>
      </c>
      <c r="G29" s="165"/>
      <c r="H29" s="166"/>
    </row>
    <row r="30" spans="1:8" s="3" customFormat="1" ht="30" customHeight="1">
      <c r="A30" s="13" t="s">
        <v>21</v>
      </c>
      <c r="B30" s="152">
        <f>598000+115000+27900+7800+98600+19000+9000+3000+562700+3400+370000+5000+100000+35500+3000+70920</f>
        <v>2028820</v>
      </c>
      <c r="C30" s="164"/>
      <c r="D30" s="163"/>
      <c r="E30" s="163"/>
      <c r="F30" s="163"/>
      <c r="G30" s="165"/>
      <c r="H30" s="166"/>
    </row>
    <row r="31" spans="1:8" s="3" customFormat="1" ht="30" customHeight="1">
      <c r="A31" s="13" t="s">
        <v>113</v>
      </c>
      <c r="B31" s="152">
        <f>1500+2000+10000+1200+6000+3000+355000</f>
        <v>378700</v>
      </c>
      <c r="C31" s="164"/>
      <c r="D31" s="163"/>
      <c r="E31" s="163"/>
      <c r="F31" s="163"/>
      <c r="G31" s="165"/>
      <c r="H31" s="166"/>
    </row>
    <row r="32" spans="1:8" s="3" customFormat="1" ht="30" customHeight="1">
      <c r="A32" s="13" t="s">
        <v>22</v>
      </c>
      <c r="B32" s="152">
        <f>84000+600000+200000</f>
        <v>884000</v>
      </c>
      <c r="C32" s="164"/>
      <c r="D32" s="163"/>
      <c r="E32" s="163"/>
      <c r="F32" s="163"/>
      <c r="G32" s="165"/>
      <c r="H32" s="166"/>
    </row>
    <row r="33" spans="1:8" s="3" customFormat="1" ht="30" customHeight="1">
      <c r="A33" s="13" t="s">
        <v>23</v>
      </c>
      <c r="B33" s="167"/>
      <c r="C33" s="151">
        <f>1000</f>
        <v>1000</v>
      </c>
      <c r="D33" s="163"/>
      <c r="E33" s="163"/>
      <c r="F33" s="163"/>
      <c r="G33" s="165"/>
      <c r="H33" s="166"/>
    </row>
    <row r="34" spans="1:8" s="3" customFormat="1" ht="30" customHeight="1" thickBot="1">
      <c r="A34" s="171"/>
      <c r="B34" s="168"/>
      <c r="C34" s="168"/>
      <c r="D34" s="168"/>
      <c r="E34" s="168"/>
      <c r="F34" s="168"/>
      <c r="G34" s="169"/>
      <c r="H34" s="170"/>
    </row>
    <row r="35" spans="1:8" s="3" customFormat="1" ht="30" customHeight="1" thickBot="1">
      <c r="A35" s="175" t="s">
        <v>2</v>
      </c>
      <c r="B35" s="153">
        <f aca="true" t="shared" si="0" ref="B35:H35">SUM(B10:B34)</f>
        <v>3291520</v>
      </c>
      <c r="C35" s="154">
        <f t="shared" si="0"/>
        <v>56200</v>
      </c>
      <c r="D35" s="154">
        <f t="shared" si="0"/>
        <v>467000</v>
      </c>
      <c r="E35" s="153">
        <f t="shared" si="0"/>
        <v>17541736.07</v>
      </c>
      <c r="F35" s="154">
        <f t="shared" si="0"/>
        <v>4200</v>
      </c>
      <c r="G35" s="155">
        <f t="shared" si="0"/>
        <v>0</v>
      </c>
      <c r="H35" s="155">
        <f t="shared" si="0"/>
        <v>0</v>
      </c>
    </row>
    <row r="36" spans="1:8" s="3" customFormat="1" ht="30" customHeight="1">
      <c r="A36" s="174" t="s">
        <v>125</v>
      </c>
      <c r="B36" s="222">
        <f>B35+C35+D35+E35+F35+G35</f>
        <v>21360656.07</v>
      </c>
      <c r="C36" s="223"/>
      <c r="D36" s="223"/>
      <c r="E36" s="223"/>
      <c r="F36" s="223"/>
      <c r="G36" s="223"/>
      <c r="H36" s="224"/>
    </row>
    <row r="37" spans="1:8" s="3" customFormat="1" ht="31.5" customHeight="1">
      <c r="A37" s="176" t="s">
        <v>139</v>
      </c>
      <c r="B37" s="173"/>
      <c r="C37" s="173">
        <f>4000+30000</f>
        <v>34000</v>
      </c>
      <c r="D37" s="173">
        <f>1500+5000</f>
        <v>6500</v>
      </c>
      <c r="E37" s="173">
        <f>28187.48+11286.22+1000+5000+82008.2</f>
        <v>127481.9</v>
      </c>
      <c r="F37" s="173"/>
      <c r="G37" s="173">
        <v>5000</v>
      </c>
      <c r="H37" s="177"/>
    </row>
    <row r="38" spans="1:15" s="3" customFormat="1" ht="31.5" customHeight="1" thickBot="1">
      <c r="A38" s="178" t="s">
        <v>140</v>
      </c>
      <c r="B38" s="219">
        <f>B36+SUM(B37:H37)</f>
        <v>21533637.97</v>
      </c>
      <c r="C38" s="220"/>
      <c r="D38" s="220"/>
      <c r="E38" s="220"/>
      <c r="F38" s="220"/>
      <c r="G38" s="220"/>
      <c r="H38" s="221"/>
      <c r="I38" s="16"/>
      <c r="J38"/>
      <c r="K38"/>
      <c r="L38"/>
      <c r="M38"/>
      <c r="N38"/>
      <c r="O38"/>
    </row>
    <row r="39" spans="1:15" s="3" customFormat="1" ht="15">
      <c r="A39" s="14"/>
      <c r="C39" s="16"/>
      <c r="I39"/>
      <c r="J39"/>
      <c r="K39"/>
      <c r="L39"/>
      <c r="M39"/>
      <c r="N39"/>
      <c r="O39"/>
    </row>
    <row r="40" spans="1:15" s="3" customFormat="1" ht="34.5" customHeight="1">
      <c r="A40" s="225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</row>
    <row r="41" spans="1:15" s="3" customFormat="1" ht="15">
      <c r="A41" s="14"/>
      <c r="E41" s="156">
        <f>B36-B35-E15-E17-E18-E19</f>
        <v>17309653.57</v>
      </c>
      <c r="I41"/>
      <c r="J41"/>
      <c r="K41"/>
      <c r="L41"/>
      <c r="M41"/>
      <c r="N41"/>
      <c r="O41"/>
    </row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</sheetData>
  <sheetProtection/>
  <mergeCells count="13">
    <mergeCell ref="A40:O40"/>
    <mergeCell ref="A3:H3"/>
    <mergeCell ref="A4:H4"/>
    <mergeCell ref="B7:H7"/>
    <mergeCell ref="B8:B9"/>
    <mergeCell ref="C8:C9"/>
    <mergeCell ref="D8:D9"/>
    <mergeCell ref="E8:E9"/>
    <mergeCell ref="F8:F9"/>
    <mergeCell ref="G8:G9"/>
    <mergeCell ref="H8:H9"/>
    <mergeCell ref="B38:H38"/>
    <mergeCell ref="B36:H3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0" zoomScaleNormal="80" zoomScalePageLayoutView="0" workbookViewId="0" topLeftCell="A1">
      <selection activeCell="A1" sqref="A1:O34"/>
    </sheetView>
  </sheetViews>
  <sheetFormatPr defaultColWidth="9.140625" defaultRowHeight="12.75"/>
  <cols>
    <col min="1" max="1" width="39.57421875" style="0" customWidth="1"/>
    <col min="2" max="2" width="16.8515625" style="0" customWidth="1"/>
    <col min="3" max="3" width="13.140625" style="0" customWidth="1"/>
    <col min="4" max="4" width="15.140625" style="0" customWidth="1"/>
    <col min="5" max="5" width="16.57421875" style="0" customWidth="1"/>
    <col min="6" max="6" width="11.00390625" style="0" customWidth="1"/>
    <col min="7" max="7" width="23.00390625" style="0" customWidth="1"/>
    <col min="8" max="8" width="13.28125" style="0" customWidth="1"/>
    <col min="9" max="9" width="17.8515625" style="0" customWidth="1"/>
    <col min="10" max="10" width="13.00390625" style="0" customWidth="1"/>
    <col min="11" max="11" width="16.28125" style="0" customWidth="1"/>
    <col min="12" max="12" width="14.7109375" style="0" customWidth="1"/>
    <col min="13" max="13" width="12.00390625" style="0" customWidth="1"/>
    <col min="14" max="14" width="21.8515625" style="0" customWidth="1"/>
    <col min="15" max="15" width="16.00390625" style="0" customWidth="1"/>
    <col min="17" max="17" width="20.140625" style="0" customWidth="1"/>
  </cols>
  <sheetData>
    <row r="1" ht="12.75">
      <c r="N1" s="15" t="s">
        <v>14</v>
      </c>
    </row>
    <row r="2" spans="1:15" ht="20.25">
      <c r="A2" s="227" t="s">
        <v>126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5.7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ht="13.5" thickBot="1">
      <c r="O4" s="5" t="s">
        <v>1</v>
      </c>
    </row>
    <row r="5" spans="1:15" ht="15.75" thickBot="1">
      <c r="A5" s="6" t="s">
        <v>3</v>
      </c>
      <c r="B5" s="237" t="s">
        <v>116</v>
      </c>
      <c r="C5" s="238"/>
      <c r="D5" s="238"/>
      <c r="E5" s="238"/>
      <c r="F5" s="238"/>
      <c r="G5" s="238"/>
      <c r="H5" s="239"/>
      <c r="I5" s="237" t="s">
        <v>127</v>
      </c>
      <c r="J5" s="238"/>
      <c r="K5" s="238"/>
      <c r="L5" s="238"/>
      <c r="M5" s="238"/>
      <c r="N5" s="238"/>
      <c r="O5" s="239"/>
    </row>
    <row r="6" spans="1:15" ht="15.75" customHeight="1">
      <c r="A6" s="7" t="s">
        <v>19</v>
      </c>
      <c r="B6" s="233" t="s">
        <v>4</v>
      </c>
      <c r="C6" s="235" t="s">
        <v>5</v>
      </c>
      <c r="D6" s="235" t="s">
        <v>6</v>
      </c>
      <c r="E6" s="215" t="s">
        <v>7</v>
      </c>
      <c r="F6" s="215" t="s">
        <v>0</v>
      </c>
      <c r="G6" s="215" t="s">
        <v>80</v>
      </c>
      <c r="H6" s="217" t="s">
        <v>79</v>
      </c>
      <c r="I6" s="233" t="s">
        <v>4</v>
      </c>
      <c r="J6" s="240" t="s">
        <v>5</v>
      </c>
      <c r="K6" s="240" t="s">
        <v>6</v>
      </c>
      <c r="L6" s="215" t="s">
        <v>7</v>
      </c>
      <c r="M6" s="215" t="s">
        <v>0</v>
      </c>
      <c r="N6" s="215" t="s">
        <v>80</v>
      </c>
      <c r="O6" s="217" t="s">
        <v>79</v>
      </c>
    </row>
    <row r="7" spans="1:15" ht="63.75" customHeight="1" thickBot="1">
      <c r="A7" s="8" t="s">
        <v>18</v>
      </c>
      <c r="B7" s="234"/>
      <c r="C7" s="236"/>
      <c r="D7" s="236"/>
      <c r="E7" s="216"/>
      <c r="F7" s="216"/>
      <c r="G7" s="216"/>
      <c r="H7" s="218"/>
      <c r="I7" s="234"/>
      <c r="J7" s="241"/>
      <c r="K7" s="241"/>
      <c r="L7" s="216"/>
      <c r="M7" s="216"/>
      <c r="N7" s="216"/>
      <c r="O7" s="218"/>
    </row>
    <row r="8" spans="1:17" ht="24.75" customHeight="1">
      <c r="A8" s="94" t="s">
        <v>103</v>
      </c>
      <c r="B8" s="58"/>
      <c r="C8" s="59"/>
      <c r="D8" s="59"/>
      <c r="E8" s="59">
        <v>16207036</v>
      </c>
      <c r="F8" s="59"/>
      <c r="G8" s="60"/>
      <c r="H8" s="61"/>
      <c r="I8" s="58"/>
      <c r="J8" s="59"/>
      <c r="K8" s="59"/>
      <c r="L8" s="59">
        <v>16207036</v>
      </c>
      <c r="M8" s="59"/>
      <c r="N8" s="60"/>
      <c r="O8" s="61"/>
      <c r="Q8" s="116">
        <f>E8+E9+E10+E11+E12+E13</f>
        <v>16766520</v>
      </c>
    </row>
    <row r="9" spans="1:17" ht="33" customHeight="1">
      <c r="A9" s="96" t="s">
        <v>137</v>
      </c>
      <c r="B9" s="58"/>
      <c r="C9" s="59"/>
      <c r="D9" s="59"/>
      <c r="E9" s="59">
        <v>15184</v>
      </c>
      <c r="F9" s="59"/>
      <c r="G9" s="60"/>
      <c r="H9" s="61"/>
      <c r="I9" s="58"/>
      <c r="J9" s="59"/>
      <c r="K9" s="59"/>
      <c r="L9" s="59">
        <v>15184</v>
      </c>
      <c r="M9" s="59"/>
      <c r="N9" s="60"/>
      <c r="O9" s="61"/>
      <c r="Q9" s="116"/>
    </row>
    <row r="10" spans="1:17" ht="33" customHeight="1">
      <c r="A10" s="96" t="s">
        <v>136</v>
      </c>
      <c r="B10" s="58"/>
      <c r="C10" s="59"/>
      <c r="D10" s="59"/>
      <c r="E10" s="59">
        <v>510000</v>
      </c>
      <c r="F10" s="59"/>
      <c r="G10" s="60"/>
      <c r="H10" s="61"/>
      <c r="I10" s="58"/>
      <c r="J10" s="59"/>
      <c r="K10" s="59"/>
      <c r="L10" s="59">
        <v>510000</v>
      </c>
      <c r="M10" s="59"/>
      <c r="N10" s="60"/>
      <c r="O10" s="61"/>
      <c r="Q10" s="116"/>
    </row>
    <row r="11" spans="1:15" ht="24.75" customHeight="1">
      <c r="A11" s="86" t="s">
        <v>120</v>
      </c>
      <c r="B11" s="58"/>
      <c r="C11" s="59"/>
      <c r="D11" s="59"/>
      <c r="E11" s="59">
        <v>12500</v>
      </c>
      <c r="F11" s="59"/>
      <c r="G11" s="60"/>
      <c r="H11" s="61"/>
      <c r="I11" s="58"/>
      <c r="J11" s="59"/>
      <c r="K11" s="59"/>
      <c r="L11" s="59">
        <v>12500</v>
      </c>
      <c r="M11" s="59"/>
      <c r="N11" s="60"/>
      <c r="O11" s="61"/>
    </row>
    <row r="12" spans="1:15" ht="24.75" customHeight="1">
      <c r="A12" s="86" t="s">
        <v>93</v>
      </c>
      <c r="B12" s="58"/>
      <c r="C12" s="59"/>
      <c r="D12" s="59"/>
      <c r="E12" s="59">
        <v>10000</v>
      </c>
      <c r="F12" s="59"/>
      <c r="G12" s="60"/>
      <c r="H12" s="61"/>
      <c r="I12" s="58"/>
      <c r="J12" s="59"/>
      <c r="K12" s="59"/>
      <c r="L12" s="59">
        <v>10000</v>
      </c>
      <c r="M12" s="59"/>
      <c r="N12" s="60"/>
      <c r="O12" s="61"/>
    </row>
    <row r="13" spans="1:15" ht="24.75" customHeight="1">
      <c r="A13" s="86" t="s">
        <v>112</v>
      </c>
      <c r="B13" s="58"/>
      <c r="C13" s="59"/>
      <c r="D13" s="59"/>
      <c r="E13" s="59">
        <v>11800</v>
      </c>
      <c r="F13" s="59"/>
      <c r="G13" s="60"/>
      <c r="H13" s="61"/>
      <c r="I13" s="58"/>
      <c r="J13" s="59"/>
      <c r="K13" s="59"/>
      <c r="L13" s="59">
        <v>11800</v>
      </c>
      <c r="M13" s="59"/>
      <c r="N13" s="60"/>
      <c r="O13" s="61"/>
    </row>
    <row r="14" spans="1:15" ht="24.75" customHeight="1">
      <c r="A14" s="86" t="s">
        <v>133</v>
      </c>
      <c r="B14" s="58"/>
      <c r="C14" s="59"/>
      <c r="D14" s="59"/>
      <c r="E14" s="59">
        <v>27533.57</v>
      </c>
      <c r="F14" s="59"/>
      <c r="G14" s="60"/>
      <c r="H14" s="61"/>
      <c r="I14" s="58"/>
      <c r="J14" s="59"/>
      <c r="K14" s="59"/>
      <c r="L14" s="59">
        <v>27533.57</v>
      </c>
      <c r="M14" s="59"/>
      <c r="N14" s="60"/>
      <c r="O14" s="61"/>
    </row>
    <row r="15" spans="1:15" ht="24.75" customHeight="1">
      <c r="A15" s="86" t="s">
        <v>134</v>
      </c>
      <c r="B15" s="58"/>
      <c r="C15" s="59"/>
      <c r="D15" s="59"/>
      <c r="E15" s="59">
        <v>90200</v>
      </c>
      <c r="F15" s="59"/>
      <c r="G15" s="60"/>
      <c r="H15" s="61"/>
      <c r="I15" s="58"/>
      <c r="J15" s="59"/>
      <c r="K15" s="59"/>
      <c r="L15" s="59">
        <v>90200</v>
      </c>
      <c r="M15" s="59"/>
      <c r="N15" s="60"/>
      <c r="O15" s="61"/>
    </row>
    <row r="16" spans="1:15" ht="24.75" customHeight="1">
      <c r="A16" s="86" t="s">
        <v>118</v>
      </c>
      <c r="B16" s="58"/>
      <c r="C16" s="59"/>
      <c r="D16" s="59"/>
      <c r="E16" s="59">
        <v>494750</v>
      </c>
      <c r="F16" s="59"/>
      <c r="G16" s="60"/>
      <c r="H16" s="61"/>
      <c r="I16" s="58"/>
      <c r="J16" s="59"/>
      <c r="K16" s="59"/>
      <c r="L16" s="59">
        <v>494750</v>
      </c>
      <c r="M16" s="59"/>
      <c r="N16" s="60"/>
      <c r="O16" s="61"/>
    </row>
    <row r="17" spans="1:15" ht="24.75" customHeight="1">
      <c r="A17" s="86" t="s">
        <v>135</v>
      </c>
      <c r="B17" s="58"/>
      <c r="C17" s="59"/>
      <c r="D17" s="59"/>
      <c r="E17" s="59">
        <v>162732.5</v>
      </c>
      <c r="F17" s="59"/>
      <c r="G17" s="60"/>
      <c r="H17" s="61"/>
      <c r="I17" s="58"/>
      <c r="J17" s="59"/>
      <c r="K17" s="59"/>
      <c r="L17" s="59">
        <v>162732.5</v>
      </c>
      <c r="M17" s="59"/>
      <c r="N17" s="60"/>
      <c r="O17" s="61"/>
    </row>
    <row r="18" spans="1:15" ht="24.75" customHeight="1">
      <c r="A18" s="86" t="s">
        <v>86</v>
      </c>
      <c r="B18" s="62"/>
      <c r="C18" s="63">
        <v>200</v>
      </c>
      <c r="D18" s="63"/>
      <c r="E18" s="63"/>
      <c r="F18" s="63"/>
      <c r="G18" s="64"/>
      <c r="H18" s="65"/>
      <c r="I18" s="62"/>
      <c r="J18" s="63">
        <v>200</v>
      </c>
      <c r="K18" s="63"/>
      <c r="L18" s="63"/>
      <c r="M18" s="63"/>
      <c r="N18" s="64"/>
      <c r="O18" s="65"/>
    </row>
    <row r="19" spans="1:15" ht="24.75" customHeight="1">
      <c r="A19" s="95" t="s">
        <v>94</v>
      </c>
      <c r="B19" s="62"/>
      <c r="C19" s="63">
        <v>1000</v>
      </c>
      <c r="D19" s="63"/>
      <c r="E19" s="63"/>
      <c r="F19" s="63"/>
      <c r="G19" s="64"/>
      <c r="H19" s="65"/>
      <c r="I19" s="62"/>
      <c r="J19" s="63">
        <v>1000</v>
      </c>
      <c r="K19" s="63"/>
      <c r="L19" s="63"/>
      <c r="M19" s="63"/>
      <c r="N19" s="64"/>
      <c r="O19" s="65"/>
    </row>
    <row r="20" spans="1:15" ht="24.75" customHeight="1">
      <c r="A20" s="95" t="s">
        <v>64</v>
      </c>
      <c r="B20" s="62"/>
      <c r="C20" s="63"/>
      <c r="D20" s="63">
        <v>440000</v>
      </c>
      <c r="E20" s="63"/>
      <c r="F20" s="63"/>
      <c r="G20" s="64"/>
      <c r="H20" s="65"/>
      <c r="I20" s="62"/>
      <c r="J20" s="63"/>
      <c r="K20" s="63">
        <v>440000</v>
      </c>
      <c r="L20" s="63"/>
      <c r="M20" s="63"/>
      <c r="N20" s="64"/>
      <c r="O20" s="65"/>
    </row>
    <row r="21" spans="1:15" ht="24.75" customHeight="1">
      <c r="A21" s="86" t="s">
        <v>104</v>
      </c>
      <c r="B21" s="62"/>
      <c r="C21" s="63"/>
      <c r="D21" s="63">
        <v>19000</v>
      </c>
      <c r="E21" s="63"/>
      <c r="F21" s="63"/>
      <c r="G21" s="64"/>
      <c r="H21" s="65"/>
      <c r="I21" s="62"/>
      <c r="J21" s="63"/>
      <c r="K21" s="63">
        <v>19000</v>
      </c>
      <c r="L21" s="63"/>
      <c r="M21" s="63"/>
      <c r="N21" s="64"/>
      <c r="O21" s="65"/>
    </row>
    <row r="22" spans="1:15" ht="24.75" customHeight="1">
      <c r="A22" s="86" t="s">
        <v>111</v>
      </c>
      <c r="B22" s="62"/>
      <c r="C22" s="63"/>
      <c r="D22" s="63">
        <v>8000</v>
      </c>
      <c r="E22" s="63"/>
      <c r="F22" s="63"/>
      <c r="G22" s="64"/>
      <c r="H22" s="65"/>
      <c r="I22" s="62"/>
      <c r="J22" s="63"/>
      <c r="K22" s="63">
        <v>8000</v>
      </c>
      <c r="L22" s="63"/>
      <c r="M22" s="63"/>
      <c r="N22" s="64"/>
      <c r="O22" s="65"/>
    </row>
    <row r="23" spans="1:15" ht="24.75" customHeight="1">
      <c r="A23" s="86" t="s">
        <v>87</v>
      </c>
      <c r="B23" s="62"/>
      <c r="C23" s="63">
        <v>4000</v>
      </c>
      <c r="D23" s="63"/>
      <c r="E23" s="63"/>
      <c r="F23" s="63"/>
      <c r="G23" s="64"/>
      <c r="H23" s="65"/>
      <c r="I23" s="62"/>
      <c r="J23" s="63">
        <v>4000</v>
      </c>
      <c r="K23" s="63"/>
      <c r="L23" s="63"/>
      <c r="M23" s="63"/>
      <c r="N23" s="64"/>
      <c r="O23" s="65"/>
    </row>
    <row r="24" spans="1:15" ht="24.75" customHeight="1">
      <c r="A24" s="86" t="s">
        <v>82</v>
      </c>
      <c r="B24" s="62"/>
      <c r="C24" s="63">
        <v>50000</v>
      </c>
      <c r="D24" s="63"/>
      <c r="E24" s="63"/>
      <c r="F24" s="63"/>
      <c r="G24" s="64"/>
      <c r="H24" s="65"/>
      <c r="I24" s="62"/>
      <c r="J24" s="63">
        <v>50000</v>
      </c>
      <c r="K24" s="63"/>
      <c r="L24" s="63"/>
      <c r="M24" s="63"/>
      <c r="N24" s="64"/>
      <c r="O24" s="65"/>
    </row>
    <row r="25" spans="1:15" ht="24.75" customHeight="1">
      <c r="A25" s="86" t="s">
        <v>88</v>
      </c>
      <c r="B25" s="62"/>
      <c r="C25" s="63"/>
      <c r="D25" s="63"/>
      <c r="E25" s="63"/>
      <c r="F25" s="63">
        <v>200</v>
      </c>
      <c r="G25" s="64"/>
      <c r="H25" s="65"/>
      <c r="I25" s="62"/>
      <c r="J25" s="63"/>
      <c r="K25" s="63"/>
      <c r="L25" s="63"/>
      <c r="M25" s="63">
        <v>200</v>
      </c>
      <c r="N25" s="64"/>
      <c r="O25" s="65"/>
    </row>
    <row r="26" spans="1:15" ht="24.75" customHeight="1">
      <c r="A26" s="86" t="s">
        <v>110</v>
      </c>
      <c r="B26" s="62"/>
      <c r="C26" s="63"/>
      <c r="D26" s="63"/>
      <c r="E26" s="63"/>
      <c r="F26" s="63">
        <v>2000</v>
      </c>
      <c r="G26" s="64"/>
      <c r="H26" s="65"/>
      <c r="I26" s="62"/>
      <c r="J26" s="63"/>
      <c r="K26" s="63"/>
      <c r="L26" s="63"/>
      <c r="M26" s="63">
        <v>2000</v>
      </c>
      <c r="N26" s="64"/>
      <c r="O26" s="65"/>
    </row>
    <row r="27" spans="1:15" ht="24.75" customHeight="1">
      <c r="A27" s="86" t="s">
        <v>89</v>
      </c>
      <c r="B27" s="62"/>
      <c r="C27" s="63"/>
      <c r="D27" s="63"/>
      <c r="E27" s="63"/>
      <c r="F27" s="63">
        <v>2000</v>
      </c>
      <c r="G27" s="64"/>
      <c r="H27" s="65"/>
      <c r="I27" s="62"/>
      <c r="J27" s="63"/>
      <c r="K27" s="63"/>
      <c r="L27" s="63"/>
      <c r="M27" s="63">
        <v>2000</v>
      </c>
      <c r="N27" s="64"/>
      <c r="O27" s="65"/>
    </row>
    <row r="28" spans="1:15" ht="24.75" customHeight="1">
      <c r="A28" s="86" t="s">
        <v>21</v>
      </c>
      <c r="B28" s="62">
        <v>2028820</v>
      </c>
      <c r="C28" s="63"/>
      <c r="D28" s="63"/>
      <c r="E28" s="63"/>
      <c r="F28" s="63"/>
      <c r="G28" s="64"/>
      <c r="H28" s="65"/>
      <c r="I28" s="62">
        <v>2028820</v>
      </c>
      <c r="J28" s="63"/>
      <c r="K28" s="63"/>
      <c r="L28" s="63"/>
      <c r="M28" s="63"/>
      <c r="N28" s="64"/>
      <c r="O28" s="65"/>
    </row>
    <row r="29" spans="1:15" ht="24.75" customHeight="1">
      <c r="A29" s="86" t="s">
        <v>113</v>
      </c>
      <c r="B29" s="62">
        <v>378700</v>
      </c>
      <c r="C29" s="63"/>
      <c r="D29" s="63"/>
      <c r="E29" s="63"/>
      <c r="F29" s="63"/>
      <c r="G29" s="64"/>
      <c r="H29" s="65"/>
      <c r="I29" s="62">
        <v>378700</v>
      </c>
      <c r="J29" s="63"/>
      <c r="K29" s="63"/>
      <c r="L29" s="63"/>
      <c r="M29" s="63"/>
      <c r="N29" s="64"/>
      <c r="O29" s="65"/>
    </row>
    <row r="30" spans="1:15" ht="24.75" customHeight="1">
      <c r="A30" s="86" t="s">
        <v>22</v>
      </c>
      <c r="B30" s="62">
        <v>884000</v>
      </c>
      <c r="C30" s="63"/>
      <c r="D30" s="63"/>
      <c r="E30" s="63"/>
      <c r="F30" s="63"/>
      <c r="G30" s="64"/>
      <c r="H30" s="65"/>
      <c r="I30" s="62">
        <v>884000</v>
      </c>
      <c r="J30" s="63"/>
      <c r="K30" s="63"/>
      <c r="L30" s="63"/>
      <c r="M30" s="63"/>
      <c r="N30" s="64"/>
      <c r="O30" s="65"/>
    </row>
    <row r="31" spans="1:15" ht="24.75" customHeight="1">
      <c r="A31" s="86" t="s">
        <v>23</v>
      </c>
      <c r="B31" s="62"/>
      <c r="C31" s="63">
        <v>1000</v>
      </c>
      <c r="D31" s="63"/>
      <c r="E31" s="63"/>
      <c r="F31" s="63"/>
      <c r="G31" s="64"/>
      <c r="H31" s="65"/>
      <c r="I31" s="62"/>
      <c r="J31" s="63">
        <v>1000</v>
      </c>
      <c r="K31" s="63"/>
      <c r="L31" s="63"/>
      <c r="M31" s="63"/>
      <c r="N31" s="64"/>
      <c r="O31" s="65"/>
    </row>
    <row r="32" spans="1:15" ht="24.75" customHeight="1" thickBot="1">
      <c r="A32" s="70"/>
      <c r="B32" s="109"/>
      <c r="C32" s="110"/>
      <c r="D32" s="110"/>
      <c r="E32" s="110"/>
      <c r="F32" s="110"/>
      <c r="G32" s="111"/>
      <c r="H32" s="112"/>
      <c r="I32" s="113"/>
      <c r="J32" s="110"/>
      <c r="K32" s="110"/>
      <c r="L32" s="110"/>
      <c r="M32" s="110"/>
      <c r="N32" s="111"/>
      <c r="O32" s="112"/>
    </row>
    <row r="33" spans="1:15" ht="24.75" customHeight="1" thickBot="1">
      <c r="A33" s="1" t="s">
        <v>2</v>
      </c>
      <c r="B33" s="114">
        <f aca="true" t="shared" si="0" ref="B33:O33">SUM(B8:B32)</f>
        <v>3291520</v>
      </c>
      <c r="C33" s="114">
        <f t="shared" si="0"/>
        <v>56200</v>
      </c>
      <c r="D33" s="114">
        <f t="shared" si="0"/>
        <v>467000</v>
      </c>
      <c r="E33" s="114">
        <f t="shared" si="0"/>
        <v>17541736.07</v>
      </c>
      <c r="F33" s="114">
        <f t="shared" si="0"/>
        <v>4200</v>
      </c>
      <c r="G33" s="114">
        <f t="shared" si="0"/>
        <v>0</v>
      </c>
      <c r="H33" s="114">
        <f t="shared" si="0"/>
        <v>0</v>
      </c>
      <c r="I33" s="114">
        <f t="shared" si="0"/>
        <v>3291520</v>
      </c>
      <c r="J33" s="114">
        <f t="shared" si="0"/>
        <v>56200</v>
      </c>
      <c r="K33" s="114">
        <f t="shared" si="0"/>
        <v>467000</v>
      </c>
      <c r="L33" s="114">
        <f t="shared" si="0"/>
        <v>17541736.07</v>
      </c>
      <c r="M33" s="114">
        <f t="shared" si="0"/>
        <v>4200</v>
      </c>
      <c r="N33" s="114">
        <f t="shared" si="0"/>
        <v>0</v>
      </c>
      <c r="O33" s="114">
        <f t="shared" si="0"/>
        <v>0</v>
      </c>
    </row>
    <row r="34" spans="1:15" ht="24.75" customHeight="1" thickBot="1">
      <c r="A34" s="1" t="s">
        <v>128</v>
      </c>
      <c r="B34" s="242">
        <f>B33+C33+D33+E33+F33</f>
        <v>21360656.07</v>
      </c>
      <c r="C34" s="243"/>
      <c r="D34" s="243"/>
      <c r="E34" s="243"/>
      <c r="F34" s="243"/>
      <c r="G34" s="243"/>
      <c r="H34" s="244"/>
      <c r="I34" s="242">
        <f>SUM(I33:O33)</f>
        <v>21360656.07</v>
      </c>
      <c r="J34" s="243"/>
      <c r="K34" s="243"/>
      <c r="L34" s="243"/>
      <c r="M34" s="243"/>
      <c r="N34" s="243"/>
      <c r="O34" s="244"/>
    </row>
    <row r="36" spans="1:9" ht="15.75">
      <c r="A36" s="2"/>
      <c r="B36" s="3"/>
      <c r="C36" s="3"/>
      <c r="D36" s="3"/>
      <c r="E36" s="3"/>
      <c r="F36" s="3"/>
      <c r="G36" s="16"/>
      <c r="H36" s="16"/>
      <c r="I36" s="16"/>
    </row>
    <row r="37" spans="1:8" ht="15">
      <c r="A37" s="14"/>
      <c r="B37" s="3"/>
      <c r="C37" s="3"/>
      <c r="D37" s="3"/>
      <c r="E37" s="115"/>
      <c r="F37" s="3"/>
      <c r="G37" s="115">
        <f>B34-B33-E14-E15-E16-E17</f>
        <v>17293920</v>
      </c>
      <c r="H37" s="3"/>
    </row>
    <row r="38" spans="1:15" ht="33.75" customHeight="1">
      <c r="A38" s="225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</row>
    <row r="39" spans="1:8" ht="15">
      <c r="A39" s="14"/>
      <c r="B39" s="3"/>
      <c r="C39" s="3"/>
      <c r="D39" s="3"/>
      <c r="E39" s="3"/>
      <c r="F39" s="3"/>
      <c r="G39" s="3"/>
      <c r="H39" s="3"/>
    </row>
    <row r="40" ht="12.75">
      <c r="E40" s="116"/>
    </row>
  </sheetData>
  <sheetProtection/>
  <mergeCells count="21">
    <mergeCell ref="I34:O34"/>
    <mergeCell ref="O6:O7"/>
    <mergeCell ref="A38:O38"/>
    <mergeCell ref="H6:H7"/>
    <mergeCell ref="I6:I7"/>
    <mergeCell ref="J6:J7"/>
    <mergeCell ref="K6:K7"/>
    <mergeCell ref="F6:F7"/>
    <mergeCell ref="B34:H34"/>
    <mergeCell ref="G6:G7"/>
    <mergeCell ref="E6:E7"/>
    <mergeCell ref="C6:C7"/>
    <mergeCell ref="A2:O2"/>
    <mergeCell ref="A3:O3"/>
    <mergeCell ref="B5:H5"/>
    <mergeCell ref="I5:O5"/>
    <mergeCell ref="B6:B7"/>
    <mergeCell ref="D6:D7"/>
    <mergeCell ref="L6:L7"/>
    <mergeCell ref="M6:M7"/>
    <mergeCell ref="N6:N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zoomScale="80" zoomScaleNormal="80"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69" sqref="O69"/>
    </sheetView>
  </sheetViews>
  <sheetFormatPr defaultColWidth="9.140625" defaultRowHeight="12.75"/>
  <cols>
    <col min="1" max="1" width="11.140625" style="43" customWidth="1"/>
    <col min="2" max="2" width="29.00390625" style="44" customWidth="1"/>
    <col min="3" max="4" width="17.140625" style="20" customWidth="1"/>
    <col min="5" max="5" width="16.7109375" style="134" customWidth="1"/>
    <col min="6" max="7" width="16.7109375" style="118" customWidth="1"/>
    <col min="8" max="8" width="18.421875" style="132" customWidth="1"/>
    <col min="9" max="9" width="14.421875" style="132" customWidth="1"/>
    <col min="10" max="10" width="16.7109375" style="133" customWidth="1"/>
    <col min="11" max="12" width="16.7109375" style="118" customWidth="1"/>
    <col min="13" max="13" width="16.7109375" style="20" customWidth="1"/>
    <col min="14" max="15" width="16.7109375" style="82" customWidth="1"/>
    <col min="16" max="16" width="16.7109375" style="20" hidden="1" customWidth="1"/>
    <col min="17" max="17" width="16.421875" style="20" hidden="1" customWidth="1"/>
    <col min="18" max="18" width="10.421875" style="20" customWidth="1"/>
    <col min="19" max="16384" width="9.140625" style="20" customWidth="1"/>
  </cols>
  <sheetData>
    <row r="1" spans="1:18" ht="24.75" customHeight="1">
      <c r="A1" s="245" t="s">
        <v>109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87" t="s">
        <v>15</v>
      </c>
      <c r="P1" s="19"/>
      <c r="Q1" s="19"/>
      <c r="R1" s="19"/>
    </row>
    <row r="2" spans="1:18" ht="20.25" customHeight="1">
      <c r="A2" s="19"/>
      <c r="B2" s="19"/>
      <c r="C2" s="19"/>
      <c r="D2" s="19"/>
      <c r="E2" s="129"/>
      <c r="F2" s="117"/>
      <c r="G2" s="117"/>
      <c r="H2" s="129"/>
      <c r="I2" s="129"/>
      <c r="J2" s="130"/>
      <c r="K2" s="117"/>
      <c r="L2" s="117"/>
      <c r="M2" s="19"/>
      <c r="N2" s="81"/>
      <c r="O2" s="81"/>
      <c r="P2" s="19"/>
      <c r="Q2" s="19"/>
      <c r="R2" s="19"/>
    </row>
    <row r="3" spans="1:18" ht="20.25" customHeight="1">
      <c r="A3" s="19"/>
      <c r="B3" s="19"/>
      <c r="C3" s="19"/>
      <c r="D3" s="19"/>
      <c r="E3" s="129"/>
      <c r="F3" s="117"/>
      <c r="G3" s="117"/>
      <c r="H3" s="129"/>
      <c r="I3" s="129"/>
      <c r="J3" s="130"/>
      <c r="K3" s="117"/>
      <c r="L3" s="117"/>
      <c r="M3" s="19"/>
      <c r="N3" s="81"/>
      <c r="O3" s="81"/>
      <c r="P3" s="19"/>
      <c r="Q3" s="19"/>
      <c r="R3" s="19"/>
    </row>
    <row r="4" spans="1:5" ht="18" customHeight="1">
      <c r="A4" s="71" t="s">
        <v>25</v>
      </c>
      <c r="B4" s="21"/>
      <c r="C4" s="21"/>
      <c r="D4" s="21"/>
      <c r="E4" s="131"/>
    </row>
    <row r="5" spans="1:2" ht="15" customHeight="1">
      <c r="A5" s="22" t="s">
        <v>24</v>
      </c>
      <c r="B5" s="20"/>
    </row>
    <row r="6" spans="1:2" ht="16.5" customHeight="1">
      <c r="A6" s="17"/>
      <c r="B6" s="20"/>
    </row>
    <row r="7" spans="1:15" ht="15">
      <c r="A7" s="24"/>
      <c r="B7" s="24"/>
      <c r="C7" s="24"/>
      <c r="D7" s="24"/>
      <c r="E7" s="135"/>
      <c r="F7" s="24"/>
      <c r="G7" s="24"/>
      <c r="H7" s="83"/>
      <c r="I7" s="83"/>
      <c r="J7" s="136"/>
      <c r="K7" s="24"/>
      <c r="L7" s="24"/>
      <c r="M7" s="24"/>
      <c r="N7" s="83"/>
      <c r="O7" s="88" t="s">
        <v>1</v>
      </c>
    </row>
    <row r="8" spans="1:15" ht="8.25" customHeight="1">
      <c r="A8" s="25"/>
      <c r="B8" s="25"/>
      <c r="C8" s="25"/>
      <c r="D8" s="25"/>
      <c r="E8" s="137"/>
      <c r="F8" s="119"/>
      <c r="G8" s="119"/>
      <c r="H8" s="137"/>
      <c r="I8" s="137"/>
      <c r="J8" s="138"/>
      <c r="K8" s="119"/>
      <c r="L8" s="119"/>
      <c r="M8" s="26"/>
      <c r="N8" s="84"/>
      <c r="O8" s="84"/>
    </row>
    <row r="9" spans="1:17" ht="9.75" customHeight="1">
      <c r="A9" s="25"/>
      <c r="B9" s="25"/>
      <c r="C9" s="25"/>
      <c r="D9" s="25"/>
      <c r="E9" s="139"/>
      <c r="F9" s="120"/>
      <c r="G9" s="120"/>
      <c r="H9" s="139"/>
      <c r="I9" s="139"/>
      <c r="J9" s="140"/>
      <c r="K9" s="120"/>
      <c r="L9" s="120"/>
      <c r="M9" s="25"/>
      <c r="O9" s="89"/>
      <c r="P9" s="25"/>
      <c r="Q9" s="25"/>
    </row>
    <row r="10" spans="1:17" s="23" customFormat="1" ht="90">
      <c r="A10" s="27" t="s">
        <v>20</v>
      </c>
      <c r="B10" s="27" t="s">
        <v>91</v>
      </c>
      <c r="C10" s="28" t="s">
        <v>129</v>
      </c>
      <c r="D10" s="121" t="s">
        <v>130</v>
      </c>
      <c r="E10" s="90" t="s">
        <v>95</v>
      </c>
      <c r="F10" s="121" t="s">
        <v>5</v>
      </c>
      <c r="G10" s="121" t="s">
        <v>6</v>
      </c>
      <c r="H10" s="90" t="s">
        <v>141</v>
      </c>
      <c r="I10" s="172" t="s">
        <v>138</v>
      </c>
      <c r="J10" s="172" t="s">
        <v>131</v>
      </c>
      <c r="K10" s="121" t="s">
        <v>8</v>
      </c>
      <c r="L10" s="121" t="s">
        <v>81</v>
      </c>
      <c r="M10" s="28" t="s">
        <v>79</v>
      </c>
      <c r="N10" s="90" t="s">
        <v>117</v>
      </c>
      <c r="O10" s="90" t="s">
        <v>132</v>
      </c>
      <c r="P10" s="29" t="s">
        <v>9</v>
      </c>
      <c r="Q10" s="29" t="s">
        <v>10</v>
      </c>
    </row>
    <row r="11" spans="1:17" s="23" customFormat="1" ht="15">
      <c r="A11" s="72">
        <v>3</v>
      </c>
      <c r="B11" s="72" t="s">
        <v>92</v>
      </c>
      <c r="C11" s="73"/>
      <c r="D11" s="73"/>
      <c r="E11" s="91"/>
      <c r="F11" s="122"/>
      <c r="G11" s="122"/>
      <c r="H11" s="91"/>
      <c r="I11" s="91"/>
      <c r="J11" s="141"/>
      <c r="K11" s="122"/>
      <c r="L11" s="122"/>
      <c r="M11" s="74"/>
      <c r="N11" s="91"/>
      <c r="O11" s="91"/>
      <c r="P11" s="75"/>
      <c r="Q11" s="75"/>
    </row>
    <row r="12" spans="1:17" ht="14.25" customHeight="1">
      <c r="A12" s="30">
        <v>31</v>
      </c>
      <c r="B12" s="30" t="s">
        <v>26</v>
      </c>
      <c r="C12" s="98">
        <f>SUM(D12:M12)</f>
        <v>17327001.9</v>
      </c>
      <c r="D12" s="99">
        <f aca="true" t="shared" si="0" ref="D12:M12">SUM(D14:D16)</f>
        <v>121481.9</v>
      </c>
      <c r="E12" s="142">
        <f t="shared" si="0"/>
        <v>866300</v>
      </c>
      <c r="F12" s="123">
        <f t="shared" si="0"/>
        <v>5000</v>
      </c>
      <c r="G12" s="123">
        <f t="shared" si="0"/>
        <v>56000</v>
      </c>
      <c r="H12" s="142">
        <f t="shared" si="0"/>
        <v>15815220</v>
      </c>
      <c r="I12" s="142">
        <f t="shared" si="0"/>
        <v>461000</v>
      </c>
      <c r="J12" s="142">
        <f t="shared" si="0"/>
        <v>0</v>
      </c>
      <c r="K12" s="123">
        <f t="shared" si="0"/>
        <v>2000</v>
      </c>
      <c r="L12" s="123">
        <f t="shared" si="0"/>
        <v>0</v>
      </c>
      <c r="M12" s="98">
        <f t="shared" si="0"/>
        <v>0</v>
      </c>
      <c r="N12" s="99">
        <f>E12+F12+H12+K12+I12+G12</f>
        <v>17205520</v>
      </c>
      <c r="O12" s="99">
        <f>F12+G12+I12+L12+J12+H12+K12+E12</f>
        <v>17205520</v>
      </c>
      <c r="P12" s="31">
        <f>SUM(P13:P19)</f>
        <v>0</v>
      </c>
      <c r="Q12" s="31">
        <f>SUM(Q13:Q19)</f>
        <v>0</v>
      </c>
    </row>
    <row r="13" spans="1:17" ht="14.25" customHeight="1">
      <c r="A13" s="32">
        <v>311</v>
      </c>
      <c r="B13" s="33" t="s">
        <v>27</v>
      </c>
      <c r="C13" s="98"/>
      <c r="D13" s="98"/>
      <c r="E13" s="143"/>
      <c r="F13" s="124"/>
      <c r="G13" s="124"/>
      <c r="H13" s="143"/>
      <c r="I13" s="143"/>
      <c r="J13" s="144"/>
      <c r="K13" s="124"/>
      <c r="L13" s="124"/>
      <c r="M13" s="101"/>
      <c r="N13" s="100"/>
      <c r="O13" s="100"/>
      <c r="P13" s="20">
        <v>0</v>
      </c>
      <c r="Q13" s="20">
        <v>0</v>
      </c>
    </row>
    <row r="14" spans="1:17" ht="14.25" customHeight="1">
      <c r="A14" s="32">
        <v>3111</v>
      </c>
      <c r="B14" s="34" t="s">
        <v>28</v>
      </c>
      <c r="C14" s="102">
        <f>SUM(D14:M14)</f>
        <v>14262436.2</v>
      </c>
      <c r="D14" s="102">
        <v>115891.2</v>
      </c>
      <c r="E14" s="143">
        <f>598000+115000</f>
        <v>713000</v>
      </c>
      <c r="F14" s="124"/>
      <c r="G14" s="124">
        <v>48000</v>
      </c>
      <c r="H14" s="143">
        <f>13020545</f>
        <v>13020545</v>
      </c>
      <c r="I14" s="143">
        <v>365000</v>
      </c>
      <c r="J14" s="143"/>
      <c r="K14" s="124"/>
      <c r="L14" s="124"/>
      <c r="M14" s="101"/>
      <c r="N14" s="100"/>
      <c r="O14" s="100"/>
      <c r="P14" s="20">
        <v>0</v>
      </c>
      <c r="Q14" s="20">
        <v>0</v>
      </c>
    </row>
    <row r="15" spans="1:17" ht="14.25" customHeight="1">
      <c r="A15" s="32">
        <v>3121</v>
      </c>
      <c r="B15" s="33" t="s">
        <v>29</v>
      </c>
      <c r="C15" s="102">
        <f>SUM(D15:M15)</f>
        <v>727699</v>
      </c>
      <c r="D15" s="102"/>
      <c r="E15" s="143">
        <f>27900+7800</f>
        <v>35700</v>
      </c>
      <c r="F15" s="124">
        <v>5000</v>
      </c>
      <c r="G15" s="124"/>
      <c r="H15" s="143">
        <f>104000+60000+78000+20000+170000+10000+178500+15000+8315+5184</f>
        <v>648999</v>
      </c>
      <c r="I15" s="143">
        <v>36000</v>
      </c>
      <c r="J15" s="143"/>
      <c r="K15" s="124">
        <v>2000</v>
      </c>
      <c r="L15" s="124"/>
      <c r="M15" s="101"/>
      <c r="N15" s="100"/>
      <c r="O15" s="100"/>
      <c r="P15" s="20">
        <v>0</v>
      </c>
      <c r="Q15" s="20">
        <v>0</v>
      </c>
    </row>
    <row r="16" spans="1:15" ht="14.25" customHeight="1">
      <c r="A16" s="32">
        <v>3132</v>
      </c>
      <c r="B16" s="33" t="s">
        <v>30</v>
      </c>
      <c r="C16" s="102">
        <f>SUM(D16:M16)</f>
        <v>2336866.7</v>
      </c>
      <c r="D16" s="102">
        <v>5590.7</v>
      </c>
      <c r="E16" s="143">
        <f>98600+19000</f>
        <v>117600</v>
      </c>
      <c r="F16" s="124"/>
      <c r="G16" s="124">
        <v>8000</v>
      </c>
      <c r="H16" s="143">
        <v>2145676</v>
      </c>
      <c r="I16" s="143">
        <v>60000</v>
      </c>
      <c r="J16" s="143"/>
      <c r="K16" s="124"/>
      <c r="L16" s="124"/>
      <c r="M16" s="101"/>
      <c r="N16" s="100"/>
      <c r="O16" s="100"/>
    </row>
    <row r="17" spans="1:15" ht="14.25" customHeight="1" hidden="1">
      <c r="A17" s="32"/>
      <c r="B17" s="33"/>
      <c r="C17" s="101"/>
      <c r="D17" s="101"/>
      <c r="E17" s="143"/>
      <c r="F17" s="124"/>
      <c r="G17" s="124"/>
      <c r="H17" s="143"/>
      <c r="I17" s="143"/>
      <c r="J17" s="144"/>
      <c r="K17" s="124"/>
      <c r="L17" s="124"/>
      <c r="M17" s="101"/>
      <c r="N17" s="100"/>
      <c r="O17" s="100"/>
    </row>
    <row r="18" spans="1:17" ht="14.25" customHeight="1">
      <c r="A18" s="32"/>
      <c r="B18" s="35"/>
      <c r="C18" s="101"/>
      <c r="D18" s="101"/>
      <c r="E18" s="143"/>
      <c r="F18" s="124"/>
      <c r="G18" s="124"/>
      <c r="H18" s="143"/>
      <c r="I18" s="143"/>
      <c r="J18" s="144"/>
      <c r="K18" s="124"/>
      <c r="L18" s="124"/>
      <c r="M18" s="101"/>
      <c r="N18" s="100"/>
      <c r="O18" s="100"/>
      <c r="P18" s="20">
        <v>0</v>
      </c>
      <c r="Q18" s="20">
        <v>0</v>
      </c>
    </row>
    <row r="19" spans="1:17" ht="14.25" customHeight="1">
      <c r="A19" s="36">
        <v>32</v>
      </c>
      <c r="B19" s="45" t="s">
        <v>31</v>
      </c>
      <c r="C19" s="103">
        <f aca="true" t="shared" si="1" ref="C19:C45">SUM(D19:M19)</f>
        <v>2377236.07</v>
      </c>
      <c r="D19" s="104">
        <f aca="true" t="shared" si="2" ref="D19:M19">SUM(D20:D45)</f>
        <v>20200</v>
      </c>
      <c r="E19" s="126">
        <f t="shared" si="2"/>
        <v>1182820</v>
      </c>
      <c r="F19" s="125">
        <f>SUM(F20:F45)</f>
        <v>17000</v>
      </c>
      <c r="G19" s="125">
        <f>SUM(G20:G45)</f>
        <v>407000</v>
      </c>
      <c r="H19" s="126">
        <f t="shared" si="2"/>
        <v>422000</v>
      </c>
      <c r="I19" s="126">
        <f t="shared" si="2"/>
        <v>298482.5</v>
      </c>
      <c r="J19" s="126">
        <f>SUM(J20:J45)</f>
        <v>27533.57</v>
      </c>
      <c r="K19" s="125">
        <f t="shared" si="2"/>
        <v>2200</v>
      </c>
      <c r="L19" s="125">
        <f t="shared" si="2"/>
        <v>0</v>
      </c>
      <c r="M19" s="103">
        <f t="shared" si="2"/>
        <v>0</v>
      </c>
      <c r="N19" s="104">
        <f>E19+F19+G19+H19+K19+I19+J19</f>
        <v>2357036.07</v>
      </c>
      <c r="O19" s="104">
        <f>F19+G19+H19+I19+L19+J19+K19+E19</f>
        <v>2357036.0700000003</v>
      </c>
      <c r="P19" s="20">
        <v>0</v>
      </c>
      <c r="Q19" s="20">
        <v>0</v>
      </c>
    </row>
    <row r="20" spans="1:17" ht="14.25" customHeight="1">
      <c r="A20" s="32">
        <v>3211</v>
      </c>
      <c r="B20" s="33" t="s">
        <v>32</v>
      </c>
      <c r="C20" s="101">
        <f t="shared" si="1"/>
        <v>43388.28</v>
      </c>
      <c r="D20" s="101">
        <v>1000</v>
      </c>
      <c r="E20" s="143">
        <f>21500+2200</f>
        <v>23700</v>
      </c>
      <c r="F20" s="124">
        <v>1000</v>
      </c>
      <c r="G20" s="124"/>
      <c r="H20" s="143">
        <f>3000</f>
        <v>3000</v>
      </c>
      <c r="I20" s="143">
        <v>2250</v>
      </c>
      <c r="J20" s="143">
        <v>11438.28</v>
      </c>
      <c r="K20" s="124">
        <v>1000</v>
      </c>
      <c r="L20" s="124"/>
      <c r="M20" s="101"/>
      <c r="N20" s="100"/>
      <c r="O20" s="100"/>
      <c r="P20" s="31">
        <f>SUM(P21:P73)</f>
        <v>0</v>
      </c>
      <c r="Q20" s="31">
        <f>SUM(Q21:Q73)</f>
        <v>0</v>
      </c>
    </row>
    <row r="21" spans="1:17" ht="14.25" customHeight="1">
      <c r="A21" s="32">
        <v>3212</v>
      </c>
      <c r="B21" s="33" t="s">
        <v>33</v>
      </c>
      <c r="C21" s="101">
        <f t="shared" si="1"/>
        <v>393500</v>
      </c>
      <c r="D21" s="101"/>
      <c r="E21" s="143">
        <f>9000+3000</f>
        <v>12000</v>
      </c>
      <c r="F21" s="124"/>
      <c r="G21" s="124"/>
      <c r="H21" s="143">
        <v>350000</v>
      </c>
      <c r="I21" s="143">
        <v>31500</v>
      </c>
      <c r="J21" s="143"/>
      <c r="K21" s="124"/>
      <c r="L21" s="124"/>
      <c r="M21" s="101"/>
      <c r="N21" s="100"/>
      <c r="O21" s="100"/>
      <c r="P21" s="20">
        <v>0</v>
      </c>
      <c r="Q21" s="20">
        <v>0</v>
      </c>
    </row>
    <row r="22" spans="1:17" ht="14.25" customHeight="1">
      <c r="A22" s="32">
        <v>3213</v>
      </c>
      <c r="B22" s="33" t="s">
        <v>34</v>
      </c>
      <c r="C22" s="101">
        <f t="shared" si="1"/>
        <v>8577.3</v>
      </c>
      <c r="D22" s="101"/>
      <c r="E22" s="143">
        <f>5000+400</f>
        <v>5400</v>
      </c>
      <c r="F22" s="124"/>
      <c r="G22" s="124"/>
      <c r="H22" s="143"/>
      <c r="I22" s="143"/>
      <c r="J22" s="124">
        <v>3177.3</v>
      </c>
      <c r="K22" s="124"/>
      <c r="L22" s="124"/>
      <c r="M22" s="101"/>
      <c r="N22" s="100"/>
      <c r="O22" s="100"/>
      <c r="P22" s="20">
        <v>0</v>
      </c>
      <c r="Q22" s="20">
        <v>0</v>
      </c>
    </row>
    <row r="23" spans="1:15" ht="14.25" customHeight="1">
      <c r="A23" s="32">
        <v>3214</v>
      </c>
      <c r="B23" s="33" t="s">
        <v>35</v>
      </c>
      <c r="C23" s="101">
        <f t="shared" si="1"/>
        <v>11500</v>
      </c>
      <c r="D23" s="101">
        <v>500</v>
      </c>
      <c r="E23" s="143">
        <v>10000</v>
      </c>
      <c r="F23" s="124">
        <v>1000</v>
      </c>
      <c r="G23" s="124"/>
      <c r="H23" s="143"/>
      <c r="I23" s="143"/>
      <c r="J23" s="143"/>
      <c r="K23" s="124"/>
      <c r="L23" s="124"/>
      <c r="M23" s="101"/>
      <c r="N23" s="100"/>
      <c r="O23" s="100"/>
    </row>
    <row r="24" spans="1:15" ht="14.25" customHeight="1">
      <c r="A24" s="32">
        <v>3221</v>
      </c>
      <c r="B24" s="33" t="s">
        <v>36</v>
      </c>
      <c r="C24" s="101">
        <f t="shared" si="1"/>
        <v>224776.8</v>
      </c>
      <c r="D24" s="101">
        <v>3700</v>
      </c>
      <c r="E24" s="143">
        <f>204000+6800</f>
        <v>210800</v>
      </c>
      <c r="F24" s="124">
        <v>2000</v>
      </c>
      <c r="G24" s="124">
        <v>2000</v>
      </c>
      <c r="H24" s="143">
        <f>2500+2000</f>
        <v>4500</v>
      </c>
      <c r="I24" s="143"/>
      <c r="J24" s="143">
        <v>1576.8</v>
      </c>
      <c r="K24" s="124">
        <v>200</v>
      </c>
      <c r="L24" s="124"/>
      <c r="M24" s="101"/>
      <c r="N24" s="100"/>
      <c r="O24" s="100"/>
    </row>
    <row r="25" spans="1:15" ht="14.25" customHeight="1">
      <c r="A25" s="32">
        <v>3222</v>
      </c>
      <c r="B25" s="33" t="s">
        <v>105</v>
      </c>
      <c r="C25" s="101">
        <f t="shared" si="1"/>
        <v>474000</v>
      </c>
      <c r="D25" s="101">
        <v>500</v>
      </c>
      <c r="E25" s="143"/>
      <c r="F25" s="124"/>
      <c r="G25" s="124">
        <v>371500</v>
      </c>
      <c r="H25" s="143"/>
      <c r="I25" s="143">
        <v>102000</v>
      </c>
      <c r="J25" s="143"/>
      <c r="K25" s="124"/>
      <c r="L25" s="124"/>
      <c r="M25" s="101"/>
      <c r="N25" s="100"/>
      <c r="O25" s="100"/>
    </row>
    <row r="26" spans="1:15" ht="14.25" customHeight="1">
      <c r="A26" s="32">
        <v>3223</v>
      </c>
      <c r="B26" s="33" t="s">
        <v>37</v>
      </c>
      <c r="C26" s="101">
        <f t="shared" si="1"/>
        <v>372000</v>
      </c>
      <c r="D26" s="101"/>
      <c r="E26" s="143">
        <v>370000</v>
      </c>
      <c r="F26" s="124"/>
      <c r="G26" s="124">
        <v>2000</v>
      </c>
      <c r="H26" s="143"/>
      <c r="I26" s="143"/>
      <c r="J26" s="143"/>
      <c r="K26" s="124"/>
      <c r="L26" s="124"/>
      <c r="M26" s="101"/>
      <c r="N26" s="100"/>
      <c r="O26" s="100"/>
    </row>
    <row r="27" spans="1:15" ht="14.25" customHeight="1">
      <c r="A27" s="32">
        <v>3224</v>
      </c>
      <c r="B27" s="33" t="s">
        <v>38</v>
      </c>
      <c r="C27" s="101">
        <f t="shared" si="1"/>
        <v>5000</v>
      </c>
      <c r="D27" s="101"/>
      <c r="E27" s="143">
        <v>5000</v>
      </c>
      <c r="F27" s="124"/>
      <c r="G27" s="124"/>
      <c r="H27" s="143"/>
      <c r="I27" s="143"/>
      <c r="J27" s="143"/>
      <c r="K27" s="124"/>
      <c r="L27" s="124"/>
      <c r="M27" s="101"/>
      <c r="N27" s="100"/>
      <c r="O27" s="100"/>
    </row>
    <row r="28" spans="1:15" ht="14.25" customHeight="1">
      <c r="A28" s="32">
        <v>3225</v>
      </c>
      <c r="B28" s="33" t="s">
        <v>39</v>
      </c>
      <c r="C28" s="101">
        <f t="shared" si="1"/>
        <v>13400</v>
      </c>
      <c r="D28" s="101">
        <v>2500</v>
      </c>
      <c r="E28" s="143">
        <f>6000+900</f>
        <v>6900</v>
      </c>
      <c r="F28" s="124"/>
      <c r="G28" s="124">
        <v>4000</v>
      </c>
      <c r="H28" s="143"/>
      <c r="I28" s="143"/>
      <c r="J28" s="143"/>
      <c r="K28" s="124"/>
      <c r="L28" s="124"/>
      <c r="M28" s="101"/>
      <c r="N28" s="100"/>
      <c r="O28" s="100"/>
    </row>
    <row r="29" spans="1:15" ht="14.25" customHeight="1">
      <c r="A29" s="32">
        <v>3227</v>
      </c>
      <c r="B29" s="33" t="s">
        <v>40</v>
      </c>
      <c r="C29" s="101">
        <f t="shared" si="1"/>
        <v>12800</v>
      </c>
      <c r="D29" s="101">
        <v>1000</v>
      </c>
      <c r="E29" s="143">
        <v>10000</v>
      </c>
      <c r="F29" s="124">
        <v>1800</v>
      </c>
      <c r="G29" s="124"/>
      <c r="H29" s="143"/>
      <c r="I29" s="143"/>
      <c r="J29" s="143"/>
      <c r="K29" s="124"/>
      <c r="L29" s="124"/>
      <c r="M29" s="101"/>
      <c r="N29" s="100"/>
      <c r="O29" s="100"/>
    </row>
    <row r="30" spans="1:15" ht="14.25" customHeight="1">
      <c r="A30" s="32">
        <v>3231</v>
      </c>
      <c r="B30" s="33" t="s">
        <v>41</v>
      </c>
      <c r="C30" s="101">
        <f t="shared" si="1"/>
        <v>37900</v>
      </c>
      <c r="D30" s="101">
        <v>400</v>
      </c>
      <c r="E30" s="143">
        <v>35000</v>
      </c>
      <c r="F30" s="124">
        <v>500</v>
      </c>
      <c r="G30" s="124">
        <v>1000</v>
      </c>
      <c r="H30" s="143">
        <f>500</f>
        <v>500</v>
      </c>
      <c r="I30" s="143"/>
      <c r="J30" s="143"/>
      <c r="K30" s="124">
        <v>500</v>
      </c>
      <c r="L30" s="124"/>
      <c r="M30" s="101"/>
      <c r="N30" s="100"/>
      <c r="O30" s="100"/>
    </row>
    <row r="31" spans="1:15" ht="14.25" customHeight="1">
      <c r="A31" s="32">
        <v>3232</v>
      </c>
      <c r="B31" s="33" t="s">
        <v>42</v>
      </c>
      <c r="C31" s="101">
        <f t="shared" si="1"/>
        <v>110000</v>
      </c>
      <c r="D31" s="101">
        <v>1000</v>
      </c>
      <c r="E31" s="143">
        <v>100000</v>
      </c>
      <c r="F31" s="124">
        <v>7000</v>
      </c>
      <c r="G31" s="124">
        <v>2000</v>
      </c>
      <c r="H31" s="143"/>
      <c r="I31" s="143"/>
      <c r="J31" s="143"/>
      <c r="K31" s="124"/>
      <c r="L31" s="124"/>
      <c r="M31" s="101"/>
      <c r="N31" s="100"/>
      <c r="O31" s="100"/>
    </row>
    <row r="32" spans="1:15" ht="14.25" customHeight="1">
      <c r="A32" s="32">
        <v>3233</v>
      </c>
      <c r="B32" s="33" t="s">
        <v>43</v>
      </c>
      <c r="C32" s="101">
        <f t="shared" si="1"/>
        <v>7500</v>
      </c>
      <c r="D32" s="101">
        <v>1500</v>
      </c>
      <c r="E32" s="143">
        <v>3000</v>
      </c>
      <c r="F32" s="124"/>
      <c r="G32" s="124"/>
      <c r="H32" s="143"/>
      <c r="I32" s="143"/>
      <c r="J32" s="143">
        <v>3000</v>
      </c>
      <c r="K32" s="124"/>
      <c r="L32" s="124"/>
      <c r="M32" s="101"/>
      <c r="N32" s="100"/>
      <c r="O32" s="100"/>
    </row>
    <row r="33" spans="1:15" ht="14.25" customHeight="1">
      <c r="A33" s="32">
        <v>3234</v>
      </c>
      <c r="B33" s="33" t="s">
        <v>44</v>
      </c>
      <c r="C33" s="101">
        <f t="shared" si="1"/>
        <v>107000</v>
      </c>
      <c r="D33" s="101"/>
      <c r="E33" s="143">
        <v>105000</v>
      </c>
      <c r="F33" s="124"/>
      <c r="G33" s="124">
        <v>2000</v>
      </c>
      <c r="H33" s="143"/>
      <c r="I33" s="143"/>
      <c r="J33" s="143"/>
      <c r="K33" s="124"/>
      <c r="L33" s="124"/>
      <c r="M33" s="101"/>
      <c r="N33" s="100"/>
      <c r="O33" s="100"/>
    </row>
    <row r="34" spans="1:15" ht="14.25" customHeight="1">
      <c r="A34" s="32">
        <v>3235</v>
      </c>
      <c r="B34" s="33" t="s">
        <v>45</v>
      </c>
      <c r="C34" s="101">
        <f t="shared" si="1"/>
        <v>0</v>
      </c>
      <c r="D34" s="101"/>
      <c r="E34" s="143"/>
      <c r="F34" s="124"/>
      <c r="G34" s="124"/>
      <c r="H34" s="143"/>
      <c r="I34" s="143"/>
      <c r="J34" s="143"/>
      <c r="K34" s="124"/>
      <c r="L34" s="124"/>
      <c r="M34" s="101"/>
      <c r="N34" s="100"/>
      <c r="O34" s="100"/>
    </row>
    <row r="35" spans="1:15" ht="14.25" customHeight="1">
      <c r="A35" s="32">
        <v>3236</v>
      </c>
      <c r="B35" s="33" t="s">
        <v>46</v>
      </c>
      <c r="C35" s="101">
        <f t="shared" si="1"/>
        <v>37500</v>
      </c>
      <c r="D35" s="101">
        <v>500</v>
      </c>
      <c r="E35" s="143">
        <v>35500</v>
      </c>
      <c r="F35" s="124"/>
      <c r="G35" s="124">
        <v>1500</v>
      </c>
      <c r="H35" s="143"/>
      <c r="I35" s="143"/>
      <c r="J35" s="143"/>
      <c r="K35" s="124"/>
      <c r="L35" s="124"/>
      <c r="M35" s="101"/>
      <c r="N35" s="100"/>
      <c r="O35" s="100"/>
    </row>
    <row r="36" spans="1:15" ht="14.25" customHeight="1">
      <c r="A36" s="32">
        <v>3237</v>
      </c>
      <c r="B36" s="33" t="s">
        <v>47</v>
      </c>
      <c r="C36" s="101">
        <f t="shared" si="1"/>
        <v>28700</v>
      </c>
      <c r="D36" s="101">
        <v>500</v>
      </c>
      <c r="E36" s="143">
        <f>20000+1200</f>
        <v>21200</v>
      </c>
      <c r="F36" s="124"/>
      <c r="G36" s="124"/>
      <c r="H36" s="143">
        <f>5000+2000</f>
        <v>7000</v>
      </c>
      <c r="I36" s="143"/>
      <c r="J36" s="143"/>
      <c r="K36" s="124"/>
      <c r="L36" s="124"/>
      <c r="M36" s="101"/>
      <c r="N36" s="100"/>
      <c r="O36" s="100"/>
    </row>
    <row r="37" spans="1:15" ht="14.25" customHeight="1">
      <c r="A37" s="32">
        <v>3238</v>
      </c>
      <c r="B37" s="33" t="s">
        <v>48</v>
      </c>
      <c r="C37" s="101">
        <f t="shared" si="1"/>
        <v>37000</v>
      </c>
      <c r="D37" s="101"/>
      <c r="E37" s="143">
        <f>33000+3000</f>
        <v>36000</v>
      </c>
      <c r="F37" s="124"/>
      <c r="G37" s="124"/>
      <c r="H37" s="143"/>
      <c r="I37" s="143"/>
      <c r="J37" s="143">
        <v>1000</v>
      </c>
      <c r="K37" s="124"/>
      <c r="L37" s="124"/>
      <c r="M37" s="101"/>
      <c r="N37" s="100"/>
      <c r="O37" s="100"/>
    </row>
    <row r="38" spans="1:15" ht="14.25" customHeight="1">
      <c r="A38" s="32">
        <v>3239</v>
      </c>
      <c r="B38" s="33" t="s">
        <v>49</v>
      </c>
      <c r="C38" s="101">
        <f t="shared" si="1"/>
        <v>330652.5</v>
      </c>
      <c r="D38" s="101">
        <v>4000</v>
      </c>
      <c r="E38" s="143">
        <f>70000+70920+1000</f>
        <v>141920</v>
      </c>
      <c r="F38" s="124">
        <v>2000</v>
      </c>
      <c r="G38" s="124">
        <v>15000</v>
      </c>
      <c r="H38" s="143">
        <f>2000</f>
        <v>2000</v>
      </c>
      <c r="I38" s="143">
        <v>162732.5</v>
      </c>
      <c r="J38" s="143">
        <v>3000</v>
      </c>
      <c r="K38" s="124"/>
      <c r="L38" s="124"/>
      <c r="M38" s="101"/>
      <c r="N38" s="100"/>
      <c r="O38" s="100"/>
    </row>
    <row r="39" spans="1:15" ht="14.25" customHeight="1">
      <c r="A39" s="32">
        <v>3241</v>
      </c>
      <c r="B39" s="33" t="s">
        <v>50</v>
      </c>
      <c r="C39" s="101">
        <f t="shared" si="1"/>
        <v>8900</v>
      </c>
      <c r="D39" s="101">
        <v>500</v>
      </c>
      <c r="E39" s="143">
        <f>7400</f>
        <v>7400</v>
      </c>
      <c r="F39" s="124">
        <v>1000</v>
      </c>
      <c r="G39" s="124"/>
      <c r="H39" s="143"/>
      <c r="I39" s="143"/>
      <c r="J39" s="143"/>
      <c r="K39" s="124"/>
      <c r="L39" s="124"/>
      <c r="M39" s="101"/>
      <c r="N39" s="100"/>
      <c r="O39" s="100"/>
    </row>
    <row r="40" spans="1:15" ht="14.25" customHeight="1">
      <c r="A40" s="32">
        <v>3291</v>
      </c>
      <c r="B40" s="33" t="s">
        <v>51</v>
      </c>
      <c r="C40" s="101">
        <f t="shared" si="1"/>
        <v>18200</v>
      </c>
      <c r="D40" s="101">
        <v>1100</v>
      </c>
      <c r="E40" s="143">
        <v>2100</v>
      </c>
      <c r="F40" s="124"/>
      <c r="G40" s="124">
        <v>6000</v>
      </c>
      <c r="H40" s="143">
        <f>3000+6000</f>
        <v>9000</v>
      </c>
      <c r="I40" s="143"/>
      <c r="J40" s="143"/>
      <c r="K40" s="124"/>
      <c r="L40" s="124"/>
      <c r="M40" s="101"/>
      <c r="N40" s="100"/>
      <c r="O40" s="100"/>
    </row>
    <row r="41" spans="1:15" ht="14.25" customHeight="1">
      <c r="A41" s="32">
        <v>3292</v>
      </c>
      <c r="B41" s="33" t="s">
        <v>52</v>
      </c>
      <c r="C41" s="101">
        <f t="shared" si="1"/>
        <v>25300</v>
      </c>
      <c r="D41" s="101"/>
      <c r="E41" s="143">
        <v>24800</v>
      </c>
      <c r="F41" s="124"/>
      <c r="G41" s="124"/>
      <c r="H41" s="143"/>
      <c r="I41" s="143"/>
      <c r="J41" s="143">
        <v>500</v>
      </c>
      <c r="K41" s="124"/>
      <c r="L41" s="124"/>
      <c r="M41" s="101"/>
      <c r="N41" s="100"/>
      <c r="O41" s="100"/>
    </row>
    <row r="42" spans="1:15" ht="14.25" customHeight="1">
      <c r="A42" s="32">
        <v>3293</v>
      </c>
      <c r="B42" s="33" t="s">
        <v>53</v>
      </c>
      <c r="C42" s="101">
        <f t="shared" si="1"/>
        <v>2500</v>
      </c>
      <c r="D42" s="101">
        <v>500</v>
      </c>
      <c r="E42" s="143">
        <v>2000</v>
      </c>
      <c r="F42" s="124"/>
      <c r="G42" s="124"/>
      <c r="H42" s="143"/>
      <c r="I42" s="143"/>
      <c r="J42" s="143"/>
      <c r="K42" s="124"/>
      <c r="L42" s="124"/>
      <c r="M42" s="101"/>
      <c r="N42" s="100"/>
      <c r="O42" s="100"/>
    </row>
    <row r="43" spans="1:15" ht="14.25" customHeight="1">
      <c r="A43" s="32">
        <v>3294</v>
      </c>
      <c r="B43" s="33" t="s">
        <v>54</v>
      </c>
      <c r="C43" s="101">
        <f t="shared" si="1"/>
        <v>1400</v>
      </c>
      <c r="D43" s="101"/>
      <c r="E43" s="143">
        <v>1400</v>
      </c>
      <c r="F43" s="124"/>
      <c r="G43" s="124"/>
      <c r="H43" s="143"/>
      <c r="I43" s="143"/>
      <c r="J43" s="143"/>
      <c r="K43" s="124"/>
      <c r="L43" s="124"/>
      <c r="M43" s="101"/>
      <c r="N43" s="100"/>
      <c r="O43" s="100"/>
    </row>
    <row r="44" spans="1:15" ht="14.25" customHeight="1">
      <c r="A44" s="32">
        <v>3295</v>
      </c>
      <c r="B44" s="33" t="s">
        <v>55</v>
      </c>
      <c r="C44" s="101">
        <f t="shared" si="1"/>
        <v>42700</v>
      </c>
      <c r="D44" s="101">
        <v>500</v>
      </c>
      <c r="E44" s="143"/>
      <c r="F44" s="124">
        <v>200</v>
      </c>
      <c r="G44" s="124"/>
      <c r="H44" s="143">
        <v>42000</v>
      </c>
      <c r="I44" s="143"/>
      <c r="J44" s="143"/>
      <c r="K44" s="124"/>
      <c r="L44" s="124"/>
      <c r="M44" s="101"/>
      <c r="N44" s="100"/>
      <c r="O44" s="100"/>
    </row>
    <row r="45" spans="1:15" ht="14.25" customHeight="1">
      <c r="A45" s="32">
        <v>3299</v>
      </c>
      <c r="B45" s="33" t="s">
        <v>56</v>
      </c>
      <c r="C45" s="101">
        <f t="shared" si="1"/>
        <v>23041.19</v>
      </c>
      <c r="D45" s="101">
        <v>500</v>
      </c>
      <c r="E45" s="143">
        <f>12000+1700</f>
        <v>13700</v>
      </c>
      <c r="F45" s="124">
        <v>500</v>
      </c>
      <c r="G45" s="124"/>
      <c r="H45" s="143">
        <f>4000</f>
        <v>4000</v>
      </c>
      <c r="I45" s="143"/>
      <c r="J45" s="143">
        <v>3841.19</v>
      </c>
      <c r="K45" s="124">
        <v>500</v>
      </c>
      <c r="L45" s="124"/>
      <c r="M45" s="101"/>
      <c r="N45" s="100"/>
      <c r="O45" s="100"/>
    </row>
    <row r="46" spans="1:15" ht="14.25" customHeight="1" hidden="1">
      <c r="A46" s="32"/>
      <c r="B46" s="33"/>
      <c r="C46" s="101"/>
      <c r="D46" s="101"/>
      <c r="E46" s="143"/>
      <c r="F46" s="124"/>
      <c r="G46" s="124"/>
      <c r="H46" s="143"/>
      <c r="I46" s="143"/>
      <c r="J46" s="144"/>
      <c r="K46" s="124"/>
      <c r="L46" s="124"/>
      <c r="M46" s="101"/>
      <c r="N46" s="100"/>
      <c r="O46" s="100"/>
    </row>
    <row r="47" spans="1:15" ht="14.25" customHeight="1" hidden="1">
      <c r="A47" s="32"/>
      <c r="B47" s="33"/>
      <c r="C47" s="101"/>
      <c r="D47" s="101"/>
      <c r="E47" s="143"/>
      <c r="F47" s="124"/>
      <c r="G47" s="124"/>
      <c r="H47" s="143"/>
      <c r="I47" s="143"/>
      <c r="J47" s="144"/>
      <c r="K47" s="124"/>
      <c r="L47" s="124"/>
      <c r="M47" s="101"/>
      <c r="N47" s="100"/>
      <c r="O47" s="100"/>
    </row>
    <row r="48" spans="1:17" ht="14.25" customHeight="1">
      <c r="A48" s="32"/>
      <c r="B48" s="33"/>
      <c r="C48" s="101"/>
      <c r="D48" s="101"/>
      <c r="E48" s="143"/>
      <c r="F48" s="124"/>
      <c r="G48" s="124"/>
      <c r="H48" s="143"/>
      <c r="I48" s="143"/>
      <c r="J48" s="144"/>
      <c r="K48" s="124"/>
      <c r="L48" s="124"/>
      <c r="M48" s="101"/>
      <c r="N48" s="100"/>
      <c r="O48" s="100"/>
      <c r="P48" s="20">
        <v>0</v>
      </c>
      <c r="Q48" s="20">
        <v>0</v>
      </c>
    </row>
    <row r="49" spans="1:17" ht="14.25" customHeight="1">
      <c r="A49" s="36">
        <v>34</v>
      </c>
      <c r="B49" s="45" t="s">
        <v>57</v>
      </c>
      <c r="C49" s="103">
        <f>SUM(D49:M49)</f>
        <v>6100</v>
      </c>
      <c r="D49" s="104">
        <f aca="true" t="shared" si="3" ref="D49:M49">SUM(D50:D52)</f>
        <v>1500</v>
      </c>
      <c r="E49" s="126">
        <f t="shared" si="3"/>
        <v>3400</v>
      </c>
      <c r="F49" s="125">
        <f t="shared" si="3"/>
        <v>1200</v>
      </c>
      <c r="G49" s="125">
        <f t="shared" si="3"/>
        <v>0</v>
      </c>
      <c r="H49" s="126">
        <f t="shared" si="3"/>
        <v>0</v>
      </c>
      <c r="I49" s="126">
        <f t="shared" si="3"/>
        <v>0</v>
      </c>
      <c r="J49" s="126">
        <f t="shared" si="3"/>
        <v>0</v>
      </c>
      <c r="K49" s="125">
        <f t="shared" si="3"/>
        <v>0</v>
      </c>
      <c r="L49" s="125">
        <f t="shared" si="3"/>
        <v>0</v>
      </c>
      <c r="M49" s="103">
        <f t="shared" si="3"/>
        <v>0</v>
      </c>
      <c r="N49" s="104">
        <f>E49+F49</f>
        <v>4600</v>
      </c>
      <c r="O49" s="104">
        <v>4600</v>
      </c>
      <c r="P49" s="20">
        <v>0</v>
      </c>
      <c r="Q49" s="20">
        <v>0</v>
      </c>
    </row>
    <row r="50" spans="1:17" ht="14.25" customHeight="1">
      <c r="A50" s="32">
        <v>3431</v>
      </c>
      <c r="B50" s="33" t="s">
        <v>58</v>
      </c>
      <c r="C50" s="101">
        <f>SUM(D50:M50)</f>
        <v>3700</v>
      </c>
      <c r="D50" s="101">
        <v>500</v>
      </c>
      <c r="E50" s="143">
        <v>3000</v>
      </c>
      <c r="F50" s="124">
        <v>200</v>
      </c>
      <c r="G50" s="124"/>
      <c r="H50" s="143"/>
      <c r="I50" s="143"/>
      <c r="J50" s="144"/>
      <c r="K50" s="124"/>
      <c r="L50" s="124"/>
      <c r="M50" s="101"/>
      <c r="N50" s="100"/>
      <c r="O50" s="100"/>
      <c r="P50" s="20">
        <v>0</v>
      </c>
      <c r="Q50" s="20">
        <v>0</v>
      </c>
    </row>
    <row r="51" spans="1:15" ht="14.25" customHeight="1">
      <c r="A51" s="32">
        <v>3432</v>
      </c>
      <c r="B51" s="33" t="s">
        <v>90</v>
      </c>
      <c r="C51" s="101">
        <f>SUM(D51:M51)</f>
        <v>1500</v>
      </c>
      <c r="D51" s="101">
        <v>500</v>
      </c>
      <c r="E51" s="143"/>
      <c r="F51" s="124">
        <v>1000</v>
      </c>
      <c r="G51" s="124"/>
      <c r="H51" s="143"/>
      <c r="I51" s="143"/>
      <c r="J51" s="144"/>
      <c r="K51" s="124"/>
      <c r="L51" s="124"/>
      <c r="M51" s="101"/>
      <c r="N51" s="100"/>
      <c r="O51" s="100"/>
    </row>
    <row r="52" spans="1:17" ht="14.25" customHeight="1">
      <c r="A52" s="32">
        <v>3433</v>
      </c>
      <c r="B52" s="33" t="s">
        <v>59</v>
      </c>
      <c r="C52" s="101">
        <f>SUM(D52:M52)</f>
        <v>900</v>
      </c>
      <c r="D52" s="101">
        <v>500</v>
      </c>
      <c r="E52" s="143">
        <v>400</v>
      </c>
      <c r="F52" s="124"/>
      <c r="G52" s="124"/>
      <c r="H52" s="143"/>
      <c r="I52" s="143"/>
      <c r="J52" s="144"/>
      <c r="K52" s="124"/>
      <c r="L52" s="124"/>
      <c r="M52" s="101"/>
      <c r="N52" s="100"/>
      <c r="O52" s="100"/>
      <c r="P52" s="20">
        <v>0</v>
      </c>
      <c r="Q52" s="20">
        <v>0</v>
      </c>
    </row>
    <row r="53" spans="1:15" ht="14.25" customHeight="1" hidden="1">
      <c r="A53" s="32"/>
      <c r="B53" s="33"/>
      <c r="C53" s="101"/>
      <c r="D53" s="101"/>
      <c r="E53" s="143"/>
      <c r="F53" s="124"/>
      <c r="G53" s="124"/>
      <c r="H53" s="143"/>
      <c r="I53" s="143"/>
      <c r="J53" s="144"/>
      <c r="K53" s="124"/>
      <c r="L53" s="124"/>
      <c r="M53" s="101"/>
      <c r="N53" s="100"/>
      <c r="O53" s="100"/>
    </row>
    <row r="54" spans="1:15" ht="14.25" customHeight="1">
      <c r="A54" s="32"/>
      <c r="B54" s="33"/>
      <c r="C54" s="101"/>
      <c r="D54" s="101"/>
      <c r="E54" s="143"/>
      <c r="F54" s="124"/>
      <c r="G54" s="124"/>
      <c r="H54" s="143"/>
      <c r="I54" s="143"/>
      <c r="J54" s="144"/>
      <c r="K54" s="124"/>
      <c r="L54" s="124"/>
      <c r="M54" s="101"/>
      <c r="N54" s="100"/>
      <c r="O54" s="100"/>
    </row>
    <row r="55" spans="1:15" ht="14.25" customHeight="1">
      <c r="A55" s="36">
        <v>36</v>
      </c>
      <c r="B55" s="37" t="s">
        <v>98</v>
      </c>
      <c r="C55" s="103">
        <f>SUM(D55:M55)</f>
        <v>0</v>
      </c>
      <c r="D55" s="103"/>
      <c r="E55" s="126"/>
      <c r="F55" s="125"/>
      <c r="G55" s="125"/>
      <c r="H55" s="126">
        <f>SUM(H57+H56)</f>
        <v>0</v>
      </c>
      <c r="I55" s="126">
        <f>SUM(I57+I56)</f>
        <v>0</v>
      </c>
      <c r="J55" s="126">
        <f>SUM(J57+J56)</f>
        <v>0</v>
      </c>
      <c r="K55" s="125"/>
      <c r="L55" s="125"/>
      <c r="M55" s="103"/>
      <c r="N55" s="100"/>
      <c r="O55" s="100"/>
    </row>
    <row r="56" spans="1:15" ht="14.25" customHeight="1">
      <c r="A56" s="32">
        <v>3681</v>
      </c>
      <c r="B56" s="33" t="s">
        <v>97</v>
      </c>
      <c r="C56" s="101">
        <f>SUM(D56:M56)</f>
        <v>0</v>
      </c>
      <c r="D56" s="101"/>
      <c r="E56" s="143"/>
      <c r="F56" s="124"/>
      <c r="G56" s="124"/>
      <c r="H56" s="143"/>
      <c r="I56" s="143"/>
      <c r="J56" s="143"/>
      <c r="K56" s="124"/>
      <c r="L56" s="124"/>
      <c r="M56" s="101"/>
      <c r="N56" s="100"/>
      <c r="O56" s="100"/>
    </row>
    <row r="57" spans="1:15" ht="14.25" customHeight="1">
      <c r="A57" s="32">
        <v>3693</v>
      </c>
      <c r="B57" s="33" t="s">
        <v>99</v>
      </c>
      <c r="C57" s="101">
        <f>SUM(D57:M57)</f>
        <v>0</v>
      </c>
      <c r="D57" s="101"/>
      <c r="E57" s="143"/>
      <c r="F57" s="124"/>
      <c r="G57" s="124"/>
      <c r="H57" s="143"/>
      <c r="I57" s="143"/>
      <c r="J57" s="143"/>
      <c r="K57" s="124"/>
      <c r="L57" s="124"/>
      <c r="M57" s="101"/>
      <c r="N57" s="100"/>
      <c r="O57" s="100"/>
    </row>
    <row r="58" spans="1:15" ht="14.25" customHeight="1">
      <c r="A58" s="32"/>
      <c r="B58" s="33"/>
      <c r="C58" s="101"/>
      <c r="D58" s="101"/>
      <c r="E58" s="143"/>
      <c r="F58" s="124"/>
      <c r="G58" s="124"/>
      <c r="H58" s="143"/>
      <c r="I58" s="143"/>
      <c r="J58" s="143"/>
      <c r="K58" s="124"/>
      <c r="L58" s="124"/>
      <c r="M58" s="101"/>
      <c r="N58" s="100"/>
      <c r="O58" s="100"/>
    </row>
    <row r="59" spans="1:15" ht="14.25" customHeight="1">
      <c r="A59" s="36">
        <v>37</v>
      </c>
      <c r="B59" s="37" t="s">
        <v>106</v>
      </c>
      <c r="C59" s="103">
        <f>SUM(D59:M59)</f>
        <v>617300</v>
      </c>
      <c r="D59" s="103">
        <f>D60</f>
        <v>800</v>
      </c>
      <c r="E59" s="126">
        <f>E60</f>
        <v>355000</v>
      </c>
      <c r="F59" s="124"/>
      <c r="G59" s="125">
        <f>G60</f>
        <v>4000</v>
      </c>
      <c r="H59" s="126">
        <f>H60</f>
        <v>257500</v>
      </c>
      <c r="I59" s="126">
        <f>I60</f>
        <v>0</v>
      </c>
      <c r="J59" s="143"/>
      <c r="K59" s="124"/>
      <c r="L59" s="124"/>
      <c r="M59" s="101"/>
      <c r="N59" s="104">
        <f>E59+G59+H59</f>
        <v>616500</v>
      </c>
      <c r="O59" s="104">
        <v>616500</v>
      </c>
    </row>
    <row r="60" spans="1:15" ht="14.25" customHeight="1">
      <c r="A60" s="32" t="s">
        <v>114</v>
      </c>
      <c r="B60" s="33" t="s">
        <v>107</v>
      </c>
      <c r="C60" s="101">
        <f>SUM(D60:M60)</f>
        <v>617300</v>
      </c>
      <c r="D60" s="101">
        <v>800</v>
      </c>
      <c r="E60" s="143">
        <v>355000</v>
      </c>
      <c r="F60" s="124"/>
      <c r="G60" s="124">
        <v>4000</v>
      </c>
      <c r="H60" s="143">
        <f>7500+250000</f>
        <v>257500</v>
      </c>
      <c r="I60" s="143"/>
      <c r="J60" s="144"/>
      <c r="K60" s="124"/>
      <c r="L60" s="124"/>
      <c r="M60" s="101"/>
      <c r="N60" s="100"/>
      <c r="O60" s="100"/>
    </row>
    <row r="61" spans="1:17" ht="14.25" customHeight="1">
      <c r="A61" s="32"/>
      <c r="B61" s="33"/>
      <c r="C61" s="101"/>
      <c r="D61" s="101"/>
      <c r="E61" s="143"/>
      <c r="F61" s="124"/>
      <c r="G61" s="124"/>
      <c r="H61" s="143"/>
      <c r="I61" s="143"/>
      <c r="J61" s="144"/>
      <c r="K61" s="124"/>
      <c r="L61" s="124"/>
      <c r="M61" s="101"/>
      <c r="N61" s="100"/>
      <c r="O61" s="100"/>
      <c r="P61" s="20">
        <v>0</v>
      </c>
      <c r="Q61" s="20">
        <v>0</v>
      </c>
    </row>
    <row r="62" spans="1:17" ht="14.25" customHeight="1">
      <c r="A62" s="36">
        <v>42</v>
      </c>
      <c r="B62" s="37" t="s">
        <v>60</v>
      </c>
      <c r="C62" s="103">
        <f aca="true" t="shared" si="4" ref="C62:C71">SUM(D62:M62)</f>
        <v>406000</v>
      </c>
      <c r="D62" s="104">
        <f>SUM(D63:D68)</f>
        <v>29000</v>
      </c>
      <c r="E62" s="126">
        <f>SUM(E63:E68)</f>
        <v>84000</v>
      </c>
      <c r="F62" s="125">
        <f>SUM(F63:F68)</f>
        <v>33000</v>
      </c>
      <c r="G62" s="125">
        <f aca="true" t="shared" si="5" ref="G62:M62">SUM(G63:G71)</f>
        <v>0</v>
      </c>
      <c r="H62" s="126">
        <f t="shared" si="5"/>
        <v>260000</v>
      </c>
      <c r="I62" s="126">
        <f t="shared" si="5"/>
        <v>0</v>
      </c>
      <c r="J62" s="126">
        <f t="shared" si="5"/>
        <v>0</v>
      </c>
      <c r="K62" s="125">
        <f t="shared" si="5"/>
        <v>0</v>
      </c>
      <c r="L62" s="125">
        <f t="shared" si="5"/>
        <v>0</v>
      </c>
      <c r="M62" s="103">
        <f t="shared" si="5"/>
        <v>0</v>
      </c>
      <c r="N62" s="104">
        <f>H62+F62+E62</f>
        <v>377000</v>
      </c>
      <c r="O62" s="104">
        <v>377000</v>
      </c>
      <c r="P62" s="20">
        <v>0</v>
      </c>
      <c r="Q62" s="20">
        <v>0</v>
      </c>
    </row>
    <row r="63" spans="1:17" ht="14.25" customHeight="1">
      <c r="A63" s="32">
        <v>4221</v>
      </c>
      <c r="B63" s="34" t="s">
        <v>61</v>
      </c>
      <c r="C63" s="101">
        <f t="shared" si="4"/>
        <v>71000</v>
      </c>
      <c r="D63" s="101">
        <v>15000</v>
      </c>
      <c r="E63" s="143">
        <v>36000</v>
      </c>
      <c r="F63" s="124">
        <v>20000</v>
      </c>
      <c r="G63" s="124"/>
      <c r="H63" s="143"/>
      <c r="I63" s="143"/>
      <c r="J63" s="143"/>
      <c r="K63" s="124"/>
      <c r="L63" s="124"/>
      <c r="M63" s="101"/>
      <c r="N63" s="100"/>
      <c r="O63" s="100"/>
      <c r="P63" s="20">
        <v>0</v>
      </c>
      <c r="Q63" s="20">
        <v>0</v>
      </c>
    </row>
    <row r="64" spans="1:15" ht="14.25" customHeight="1">
      <c r="A64" s="32">
        <v>4222</v>
      </c>
      <c r="B64" s="34" t="s">
        <v>83</v>
      </c>
      <c r="C64" s="101">
        <f t="shared" si="4"/>
        <v>500</v>
      </c>
      <c r="D64" s="101">
        <v>500</v>
      </c>
      <c r="E64" s="143"/>
      <c r="F64" s="124"/>
      <c r="G64" s="124"/>
      <c r="H64" s="143"/>
      <c r="I64" s="143"/>
      <c r="J64" s="144"/>
      <c r="K64" s="124"/>
      <c r="L64" s="124"/>
      <c r="M64" s="101"/>
      <c r="N64" s="100"/>
      <c r="O64" s="100"/>
    </row>
    <row r="65" spans="1:15" ht="14.25" customHeight="1">
      <c r="A65" s="32">
        <v>4223</v>
      </c>
      <c r="B65" s="34" t="s">
        <v>65</v>
      </c>
      <c r="C65" s="101">
        <f t="shared" si="4"/>
        <v>10500</v>
      </c>
      <c r="D65" s="101">
        <v>500</v>
      </c>
      <c r="E65" s="143">
        <v>8000</v>
      </c>
      <c r="F65" s="124">
        <v>2000</v>
      </c>
      <c r="G65" s="124"/>
      <c r="H65" s="143"/>
      <c r="I65" s="143"/>
      <c r="J65" s="144"/>
      <c r="K65" s="124"/>
      <c r="L65" s="124"/>
      <c r="M65" s="101"/>
      <c r="N65" s="100"/>
      <c r="O65" s="100"/>
    </row>
    <row r="66" spans="1:15" ht="14.25" customHeight="1">
      <c r="A66" s="32">
        <v>4226</v>
      </c>
      <c r="B66" s="34" t="s">
        <v>84</v>
      </c>
      <c r="C66" s="101">
        <f t="shared" si="4"/>
        <v>2000</v>
      </c>
      <c r="D66" s="101">
        <v>2000</v>
      </c>
      <c r="E66" s="143"/>
      <c r="F66" s="124"/>
      <c r="G66" s="124"/>
      <c r="H66" s="143"/>
      <c r="I66" s="143"/>
      <c r="J66" s="144"/>
      <c r="K66" s="124"/>
      <c r="L66" s="124"/>
      <c r="M66" s="101"/>
      <c r="N66" s="100"/>
      <c r="O66" s="100"/>
    </row>
    <row r="67" spans="1:15" ht="27.75" customHeight="1">
      <c r="A67" s="32">
        <v>4227</v>
      </c>
      <c r="B67" s="46" t="s">
        <v>63</v>
      </c>
      <c r="C67" s="101">
        <f t="shared" si="4"/>
        <v>57000</v>
      </c>
      <c r="D67" s="101">
        <v>10000</v>
      </c>
      <c r="E67" s="143">
        <v>37000</v>
      </c>
      <c r="F67" s="124">
        <v>10000</v>
      </c>
      <c r="G67" s="124"/>
      <c r="H67" s="143"/>
      <c r="I67" s="143"/>
      <c r="J67" s="144"/>
      <c r="K67" s="124"/>
      <c r="L67" s="124"/>
      <c r="M67" s="101"/>
      <c r="N67" s="100"/>
      <c r="O67" s="100"/>
    </row>
    <row r="68" spans="1:15" ht="14.25" customHeight="1">
      <c r="A68" s="32">
        <v>4241</v>
      </c>
      <c r="B68" s="34" t="s">
        <v>119</v>
      </c>
      <c r="C68" s="101">
        <f t="shared" si="4"/>
        <v>265000</v>
      </c>
      <c r="D68" s="101">
        <v>1000</v>
      </c>
      <c r="E68" s="143">
        <v>3000</v>
      </c>
      <c r="F68" s="124">
        <v>1000</v>
      </c>
      <c r="G68" s="124"/>
      <c r="H68" s="143">
        <f>10000+250000</f>
        <v>260000</v>
      </c>
      <c r="I68" s="143"/>
      <c r="J68" s="144"/>
      <c r="K68" s="124"/>
      <c r="L68" s="124"/>
      <c r="M68" s="101"/>
      <c r="N68" s="100"/>
      <c r="O68" s="100"/>
    </row>
    <row r="69" spans="1:15" ht="14.25" customHeight="1">
      <c r="A69" s="36">
        <v>45</v>
      </c>
      <c r="B69" s="45" t="s">
        <v>85</v>
      </c>
      <c r="C69" s="103">
        <f t="shared" si="4"/>
        <v>800000</v>
      </c>
      <c r="D69" s="104">
        <f>SUM(D70:D71)</f>
        <v>0</v>
      </c>
      <c r="E69" s="126">
        <f>SUM(E70:E71)</f>
        <v>800000</v>
      </c>
      <c r="F69" s="126">
        <f aca="true" t="shared" si="6" ref="F69:M69">SUM(F70:F71)</f>
        <v>0</v>
      </c>
      <c r="G69" s="126">
        <f t="shared" si="6"/>
        <v>0</v>
      </c>
      <c r="H69" s="126">
        <f t="shared" si="6"/>
        <v>0</v>
      </c>
      <c r="I69" s="126">
        <f t="shared" si="6"/>
        <v>0</v>
      </c>
      <c r="J69" s="126">
        <f t="shared" si="6"/>
        <v>0</v>
      </c>
      <c r="K69" s="126">
        <f t="shared" si="6"/>
        <v>0</v>
      </c>
      <c r="L69" s="126">
        <f t="shared" si="6"/>
        <v>0</v>
      </c>
      <c r="M69" s="104">
        <f t="shared" si="6"/>
        <v>0</v>
      </c>
      <c r="N69" s="104">
        <v>800000</v>
      </c>
      <c r="O69" s="104">
        <v>800000</v>
      </c>
    </row>
    <row r="70" spans="1:15" ht="14.25" customHeight="1">
      <c r="A70" s="32">
        <v>4511</v>
      </c>
      <c r="B70" s="34" t="s">
        <v>62</v>
      </c>
      <c r="C70" s="101">
        <f t="shared" si="4"/>
        <v>600000</v>
      </c>
      <c r="D70" s="101"/>
      <c r="E70" s="143">
        <v>600000</v>
      </c>
      <c r="F70" s="124"/>
      <c r="G70" s="124"/>
      <c r="H70" s="143"/>
      <c r="I70" s="143"/>
      <c r="J70" s="144"/>
      <c r="K70" s="124"/>
      <c r="L70" s="124"/>
      <c r="M70" s="101"/>
      <c r="N70" s="100"/>
      <c r="O70" s="100"/>
    </row>
    <row r="71" spans="1:15" ht="14.25" customHeight="1">
      <c r="A71" s="38">
        <v>4521</v>
      </c>
      <c r="B71" s="39" t="s">
        <v>96</v>
      </c>
      <c r="C71" s="101">
        <f t="shared" si="4"/>
        <v>200000</v>
      </c>
      <c r="D71" s="105"/>
      <c r="E71" s="145">
        <v>200000</v>
      </c>
      <c r="F71" s="127"/>
      <c r="G71" s="127"/>
      <c r="H71" s="145"/>
      <c r="I71" s="145"/>
      <c r="J71" s="146"/>
      <c r="K71" s="127"/>
      <c r="L71" s="127"/>
      <c r="M71" s="102"/>
      <c r="N71" s="106"/>
      <c r="O71" s="106"/>
    </row>
    <row r="72" spans="1:17" ht="14.25" customHeight="1">
      <c r="A72" s="40"/>
      <c r="B72" s="18" t="s">
        <v>11</v>
      </c>
      <c r="C72" s="107">
        <f>SUM(C14:C16)+SUM(C20:C45)+SUM(C50:C52)+SUM(C63:C68)+C70+C71+SUM(C56:C57)+C60</f>
        <v>21533637.97</v>
      </c>
      <c r="D72" s="107">
        <f>SUM(D14:D16)+SUM(D20:D45)+SUM(D50:D52)+SUM(D63:D68)+D70+D71+SUM(D56:D57)+D60</f>
        <v>172981.9</v>
      </c>
      <c r="E72" s="147">
        <f>SUM(E14:E16)+SUM(E20:E45)+SUM(E50:E52)+SUM(E63:E68)+E69+E60</f>
        <v>3291520</v>
      </c>
      <c r="F72" s="128">
        <f>SUM(F14:F16)+SUM(F20:F45)+SUM(F50:F52)+SUM(F63:F70)</f>
        <v>56200</v>
      </c>
      <c r="G72" s="128">
        <f>SUM(G14:G16)+SUM(G20:G45)+SUM(G50:G52)+SUM(G63:G70)+G60</f>
        <v>467000</v>
      </c>
      <c r="H72" s="147">
        <f>SUM(H14:H16)+SUM(H20:H45)+SUM(H50:H52)+SUM(H63:H68)+SUM(H56:H57)+H60</f>
        <v>16754720</v>
      </c>
      <c r="I72" s="147">
        <f>SUM(I14:I16)+SUM(I20:I45)+SUM(I50:I52)+SUM(I63:I68)+SUM(I56:I57)+I60</f>
        <v>759482.5</v>
      </c>
      <c r="J72" s="147">
        <f>SUM(J14:J16)+SUM(J20:J45)+SUM(J50:J52)+SUM(J63:J70)+SUM(J56:J57)</f>
        <v>27533.57</v>
      </c>
      <c r="K72" s="128">
        <f>SUM(K14:K16)+SUM(K20:K45)+SUM(K50:K52)+SUM(K63:K70)</f>
        <v>4200</v>
      </c>
      <c r="L72" s="128">
        <f>SUM(L14:L16)+SUM(L20:L45)+SUM(L50:L52)+SUM(L63:L70)</f>
        <v>0</v>
      </c>
      <c r="M72" s="107">
        <f>SUM(M14:M16)+SUM(M20:M45)+SUM(M50:M52)+SUM(M63:M70)</f>
        <v>0</v>
      </c>
      <c r="N72" s="108">
        <f>SUM(N12+N19+N49+N62+N69+N59)</f>
        <v>21360656.07</v>
      </c>
      <c r="O72" s="108">
        <f>SUM(O12+O19+O49+O62+O69+O59)</f>
        <v>21360656.07</v>
      </c>
      <c r="P72" s="85">
        <f>SUM(P12+P19+P49+P62+P69+P59)</f>
        <v>0</v>
      </c>
      <c r="Q72" s="85">
        <f>SUM(Q12+Q19+Q49+Q62+Q69+Q59)</f>
        <v>0</v>
      </c>
    </row>
    <row r="73" spans="1:17" ht="14.25" customHeight="1">
      <c r="A73" s="41"/>
      <c r="B73" s="42" t="s">
        <v>12</v>
      </c>
      <c r="C73" s="107">
        <f>SUM(C12+C19+C49+C62+C69+C55+C59)</f>
        <v>21533637.97</v>
      </c>
      <c r="D73" s="107">
        <f>SUM(D12+D19+D49+D62+D69+D55+D59)</f>
        <v>172981.9</v>
      </c>
      <c r="E73" s="147">
        <f>SUM(E12+E19+E49+E62+E69)+E59</f>
        <v>3291520</v>
      </c>
      <c r="F73" s="128">
        <f>SUM(F12+F19+F49+F62)</f>
        <v>56200</v>
      </c>
      <c r="G73" s="128">
        <f>SUM(G12+G19+G49+G62+G59)</f>
        <v>467000</v>
      </c>
      <c r="H73" s="147">
        <f>SUM(H12+H19+H49+H62+H55+H59+H69)</f>
        <v>16754720</v>
      </c>
      <c r="I73" s="147">
        <f>SUM(I12+I19+I49+I62+I55+I59+I69)</f>
        <v>759482.5</v>
      </c>
      <c r="J73" s="147">
        <f>SUM(J12+J19+J49+J62+J55)</f>
        <v>27533.57</v>
      </c>
      <c r="K73" s="128">
        <f>SUM(K12+K19+K49+K62)</f>
        <v>4200</v>
      </c>
      <c r="L73" s="128">
        <f>SUM(L12+L19+L49+L62)</f>
        <v>0</v>
      </c>
      <c r="M73" s="107">
        <f>SUM(M12+M19+M49+M62)</f>
        <v>0</v>
      </c>
      <c r="N73" s="108">
        <f>N12+N19+N49+N62+N69+N59</f>
        <v>21360656.07</v>
      </c>
      <c r="O73" s="108">
        <f>O12+O19+O49+O62+O69+O59</f>
        <v>21360656.07</v>
      </c>
      <c r="P73" s="20">
        <v>0</v>
      </c>
      <c r="Q73" s="20">
        <v>0</v>
      </c>
    </row>
    <row r="75" ht="14.25">
      <c r="N75" s="179"/>
    </row>
  </sheetData>
  <sheetProtection/>
  <mergeCells count="1">
    <mergeCell ref="A1:M1"/>
  </mergeCells>
  <printOptions/>
  <pageMargins left="0.1968503937007874" right="0.1968503937007874" top="0" bottom="0" header="0.7086614173228347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2021-10-21T06:15:36Z</cp:lastPrinted>
  <dcterms:created xsi:type="dcterms:W3CDTF">1996-10-14T23:33:28Z</dcterms:created>
  <dcterms:modified xsi:type="dcterms:W3CDTF">2021-10-21T06:19:08Z</dcterms:modified>
  <cp:category/>
  <cp:version/>
  <cp:contentType/>
  <cp:contentStatus/>
</cp:coreProperties>
</file>