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SAŽETAK" sheetId="1" r:id="rId1"/>
    <sheet name=" Račun prihoda i rashoda" sheetId="3" r:id="rId2"/>
    <sheet name="Rashodi prema funkcijskoj kl" sheetId="5" r:id="rId3"/>
    <sheet name="POSEBNI DIO" sheetId="7" r:id="rId4"/>
    <sheet name="KONTROLNA TABLICA" sheetId="9" r:id="rId5"/>
  </sheets>
  <definedNames>
    <definedName name="_xlnm.Print_Titles" localSheetId="4">'KONTROLNA TABLICA'!$5:$6</definedName>
  </definedName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9" l="1"/>
  <c r="C31" i="9"/>
  <c r="D30" i="9"/>
  <c r="C30" i="9"/>
  <c r="D19" i="9"/>
  <c r="C19" i="9"/>
  <c r="D18" i="9"/>
  <c r="C18" i="9"/>
  <c r="D14" i="9"/>
  <c r="C14" i="9"/>
  <c r="F97" i="3" l="1"/>
  <c r="F40" i="3"/>
  <c r="G90" i="3" l="1"/>
  <c r="G66" i="3"/>
  <c r="G83" i="3"/>
  <c r="G96" i="3"/>
  <c r="G97" i="3"/>
  <c r="G98" i="3"/>
  <c r="G103" i="3"/>
  <c r="G108" i="3"/>
  <c r="G116" i="3"/>
  <c r="G122" i="3"/>
  <c r="G135" i="3"/>
  <c r="G159" i="3"/>
  <c r="G187" i="3"/>
  <c r="G200" i="3"/>
  <c r="G153" i="3"/>
  <c r="G154" i="3"/>
  <c r="G162" i="3"/>
  <c r="G86" i="3"/>
  <c r="G94" i="3"/>
  <c r="G72" i="3"/>
  <c r="G68" i="3"/>
  <c r="F241" i="7"/>
  <c r="F240" i="7"/>
  <c r="F239" i="7"/>
  <c r="F228" i="7" s="1"/>
  <c r="F256" i="7"/>
  <c r="F251" i="7"/>
  <c r="F249" i="7"/>
  <c r="F250" i="7"/>
  <c r="F266" i="7"/>
  <c r="F264" i="7"/>
  <c r="F257" i="7"/>
  <c r="F254" i="7"/>
  <c r="F242" i="7"/>
  <c r="F231" i="7"/>
  <c r="F230" i="7" s="1"/>
  <c r="G272" i="7"/>
  <c r="G267" i="7"/>
  <c r="G263" i="7"/>
  <c r="G262" i="7"/>
  <c r="G236" i="7"/>
  <c r="G225" i="7"/>
  <c r="G220" i="7"/>
  <c r="G215" i="7"/>
  <c r="G213" i="7"/>
  <c r="G211" i="7"/>
  <c r="G205" i="7"/>
  <c r="G198" i="7"/>
  <c r="G196" i="7"/>
  <c r="G194" i="7"/>
  <c r="G193" i="7"/>
  <c r="F168" i="7"/>
  <c r="F161" i="7"/>
  <c r="F187" i="7"/>
  <c r="F185" i="7"/>
  <c r="F184" i="7" s="1"/>
  <c r="G184" i="7" s="1"/>
  <c r="F182" i="7"/>
  <c r="G182" i="7" s="1"/>
  <c r="F178" i="7"/>
  <c r="F177" i="7" s="1"/>
  <c r="F175" i="7"/>
  <c r="G175" i="7" s="1"/>
  <c r="F172" i="7"/>
  <c r="F171" i="7" s="1"/>
  <c r="G171" i="7" s="1"/>
  <c r="F169" i="7"/>
  <c r="G169" i="7" s="1"/>
  <c r="E184" i="7"/>
  <c r="E181" i="7"/>
  <c r="E177" i="7"/>
  <c r="E174" i="7"/>
  <c r="E171" i="7"/>
  <c r="E169" i="7"/>
  <c r="F166" i="7"/>
  <c r="E166" i="7"/>
  <c r="F164" i="7"/>
  <c r="E164" i="7"/>
  <c r="F162" i="7"/>
  <c r="G162" i="7" s="1"/>
  <c r="E162" i="7"/>
  <c r="G172" i="7"/>
  <c r="G178" i="7"/>
  <c r="G186" i="7"/>
  <c r="G187" i="7"/>
  <c r="G170" i="7"/>
  <c r="G165" i="7"/>
  <c r="G166" i="7"/>
  <c r="G167" i="7"/>
  <c r="G164" i="7"/>
  <c r="G163" i="7"/>
  <c r="F173" i="7"/>
  <c r="F157" i="7"/>
  <c r="F156" i="7" s="1"/>
  <c r="F148" i="7"/>
  <c r="F147" i="7" s="1"/>
  <c r="F143" i="7"/>
  <c r="F141" i="7"/>
  <c r="F139" i="7"/>
  <c r="F137" i="7"/>
  <c r="F132" i="7"/>
  <c r="F127" i="7"/>
  <c r="F123" i="7"/>
  <c r="F118" i="7"/>
  <c r="F116" i="7"/>
  <c r="F108" i="7"/>
  <c r="F106" i="7"/>
  <c r="F104" i="7"/>
  <c r="F102" i="7"/>
  <c r="F100" i="7"/>
  <c r="G151" i="7"/>
  <c r="G154" i="7"/>
  <c r="G133" i="7"/>
  <c r="G131" i="7"/>
  <c r="G129" i="7"/>
  <c r="G112" i="7"/>
  <c r="G97" i="7"/>
  <c r="G92" i="7"/>
  <c r="G56" i="7"/>
  <c r="F88" i="7"/>
  <c r="F86" i="7"/>
  <c r="F84" i="7"/>
  <c r="F80" i="7"/>
  <c r="F78" i="7"/>
  <c r="F76" i="7"/>
  <c r="F62" i="7"/>
  <c r="F60" i="7"/>
  <c r="F59" i="7" s="1"/>
  <c r="F70" i="7"/>
  <c r="F69" i="7" s="1"/>
  <c r="G69" i="7" s="1"/>
  <c r="F67" i="7"/>
  <c r="F66" i="7" s="1"/>
  <c r="G66" i="7" s="1"/>
  <c r="G256" i="7" l="1"/>
  <c r="G185" i="7"/>
  <c r="F181" i="7"/>
  <c r="G181" i="7" s="1"/>
  <c r="G177" i="7"/>
  <c r="F174" i="7"/>
  <c r="G174" i="7" s="1"/>
  <c r="F136" i="7"/>
  <c r="F135" i="7" s="1"/>
  <c r="F134" i="7" s="1"/>
  <c r="F115" i="7"/>
  <c r="F114" i="7" s="1"/>
  <c r="F113" i="7" s="1"/>
  <c r="F74" i="7"/>
  <c r="F75" i="7"/>
  <c r="F83" i="7"/>
  <c r="F99" i="7"/>
  <c r="F65" i="7"/>
  <c r="F64" i="7" s="1"/>
  <c r="F28" i="7"/>
  <c r="F20" i="7"/>
  <c r="F16" i="7"/>
  <c r="F12" i="7"/>
  <c r="F37" i="7"/>
  <c r="F36" i="7" s="1"/>
  <c r="G36" i="7" s="1"/>
  <c r="F48" i="7"/>
  <c r="F47" i="7"/>
  <c r="G47" i="7" s="1"/>
  <c r="F206" i="7"/>
  <c r="F205" i="7" s="1"/>
  <c r="F203" i="7"/>
  <c r="F201" i="7"/>
  <c r="F199" i="7"/>
  <c r="F273" i="7"/>
  <c r="F272" i="7" s="1"/>
  <c r="F270" i="7"/>
  <c r="F268" i="7"/>
  <c r="F227" i="7"/>
  <c r="F226" i="7" s="1"/>
  <c r="F225" i="7" s="1"/>
  <c r="F222" i="7"/>
  <c r="F221" i="7" s="1"/>
  <c r="F220" i="7" s="1"/>
  <c r="F216" i="7"/>
  <c r="F215" i="7" s="1"/>
  <c r="F214" i="7" s="1"/>
  <c r="F213" i="7" s="1"/>
  <c r="F252" i="7"/>
  <c r="G251" i="7"/>
  <c r="F247" i="7"/>
  <c r="F246" i="7" s="1"/>
  <c r="G246" i="7" s="1"/>
  <c r="F244" i="7"/>
  <c r="G241" i="7" s="1"/>
  <c r="F237" i="7"/>
  <c r="F236" i="7" s="1"/>
  <c r="F232" i="7"/>
  <c r="F234" i="7"/>
  <c r="G231" i="7" l="1"/>
  <c r="F73" i="7"/>
  <c r="F72" i="7" s="1"/>
  <c r="F98" i="7"/>
  <c r="F267" i="7"/>
  <c r="F265" i="7" s="1"/>
  <c r="F11" i="7"/>
  <c r="F198" i="7"/>
  <c r="F197" i="7" s="1"/>
  <c r="F196" i="7" s="1"/>
  <c r="F229" i="7"/>
  <c r="G229" i="7" s="1"/>
  <c r="D49" i="9"/>
  <c r="D38" i="9"/>
  <c r="C38" i="9"/>
  <c r="D32" i="9"/>
  <c r="C32" i="9"/>
  <c r="D26" i="9"/>
  <c r="C26" i="9"/>
  <c r="D20" i="9"/>
  <c r="C20" i="9"/>
  <c r="D15" i="9"/>
  <c r="C15" i="9"/>
  <c r="D37" i="9"/>
  <c r="C37" i="9"/>
  <c r="D25" i="9"/>
  <c r="C25" i="9"/>
  <c r="D33" i="9"/>
  <c r="C33" i="9"/>
  <c r="D36" i="9"/>
  <c r="C36" i="9"/>
  <c r="D24" i="9"/>
  <c r="C24" i="9"/>
  <c r="F10" i="7" l="1"/>
  <c r="D47" i="9"/>
  <c r="C47" i="9"/>
  <c r="E44" i="9"/>
  <c r="E37" i="9"/>
  <c r="E36" i="9"/>
  <c r="D35" i="9"/>
  <c r="C35" i="9"/>
  <c r="E33" i="9"/>
  <c r="D48" i="9"/>
  <c r="C48" i="9"/>
  <c r="E30" i="9"/>
  <c r="D29" i="9"/>
  <c r="E27" i="9"/>
  <c r="E25" i="9"/>
  <c r="E24" i="9"/>
  <c r="D23" i="9"/>
  <c r="C23" i="9"/>
  <c r="E21" i="9"/>
  <c r="E19" i="9"/>
  <c r="C17" i="9"/>
  <c r="D17" i="9"/>
  <c r="E14" i="9"/>
  <c r="E13" i="9"/>
  <c r="D12" i="9"/>
  <c r="C12" i="9"/>
  <c r="G11" i="9"/>
  <c r="F11" i="9"/>
  <c r="E23" i="9" l="1"/>
  <c r="E35" i="9"/>
  <c r="E17" i="9"/>
  <c r="E47" i="9"/>
  <c r="E12" i="9"/>
  <c r="D51" i="9"/>
  <c r="E48" i="9"/>
  <c r="C49" i="9"/>
  <c r="E49" i="9" s="1"/>
  <c r="C29" i="9"/>
  <c r="E29" i="9" s="1"/>
  <c r="E18" i="9"/>
  <c r="E31" i="9"/>
  <c r="C51" i="9" l="1"/>
  <c r="D11" i="5"/>
  <c r="D12" i="5"/>
  <c r="E12" i="5" s="1"/>
  <c r="E13" i="5"/>
  <c r="D13" i="5"/>
  <c r="H219" i="3"/>
  <c r="H220" i="3"/>
  <c r="H206" i="3"/>
  <c r="H209" i="3"/>
  <c r="H213" i="3"/>
  <c r="H216" i="3"/>
  <c r="H202" i="3"/>
  <c r="H203" i="3"/>
  <c r="H200" i="3"/>
  <c r="H201" i="3"/>
  <c r="H198" i="3"/>
  <c r="H189" i="3"/>
  <c r="H190" i="3"/>
  <c r="H191" i="3"/>
  <c r="H192" i="3"/>
  <c r="H188" i="3"/>
  <c r="H187" i="3"/>
  <c r="H184" i="3"/>
  <c r="H186" i="3"/>
  <c r="H180" i="3"/>
  <c r="H179" i="3"/>
  <c r="H121" i="3"/>
  <c r="H122" i="3"/>
  <c r="H135" i="3"/>
  <c r="H150" i="3"/>
  <c r="H153" i="3"/>
  <c r="H158" i="3"/>
  <c r="H174" i="3"/>
  <c r="H175" i="3"/>
  <c r="H178" i="3"/>
  <c r="H95" i="3"/>
  <c r="H80" i="3"/>
  <c r="H74" i="3"/>
  <c r="H75" i="3"/>
  <c r="H73" i="3"/>
  <c r="G219" i="3"/>
  <c r="G203" i="3"/>
  <c r="G204" i="3"/>
  <c r="G206" i="3"/>
  <c r="G207" i="3"/>
  <c r="G209" i="3"/>
  <c r="G210" i="3"/>
  <c r="G213" i="3"/>
  <c r="G214" i="3"/>
  <c r="G216" i="3"/>
  <c r="G217" i="3"/>
  <c r="G220" i="3"/>
  <c r="G221" i="3"/>
  <c r="G197" i="3"/>
  <c r="G192" i="3"/>
  <c r="G193" i="3"/>
  <c r="G179" i="3"/>
  <c r="G180" i="3"/>
  <c r="G181" i="3"/>
  <c r="G175" i="3"/>
  <c r="G176" i="3"/>
  <c r="H159" i="3"/>
  <c r="G169" i="3"/>
  <c r="G166" i="3"/>
  <c r="G163" i="3"/>
  <c r="G160" i="3"/>
  <c r="G156" i="3"/>
  <c r="G150" i="3"/>
  <c r="G151" i="3"/>
  <c r="G147" i="3"/>
  <c r="G143" i="3"/>
  <c r="G138" i="3"/>
  <c r="G136" i="3"/>
  <c r="G131" i="3"/>
  <c r="G129" i="3"/>
  <c r="G127" i="3"/>
  <c r="G125" i="3"/>
  <c r="G123" i="3"/>
  <c r="H97" i="3"/>
  <c r="G93" i="3"/>
  <c r="G91" i="3"/>
  <c r="G89" i="3"/>
  <c r="G88" i="3" s="1"/>
  <c r="G65" i="3" s="1"/>
  <c r="G84" i="3"/>
  <c r="H83" i="3" s="1"/>
  <c r="G80" i="3"/>
  <c r="G81" i="3"/>
  <c r="G75" i="3"/>
  <c r="G78" i="3"/>
  <c r="G76" i="3"/>
  <c r="G71" i="3"/>
  <c r="G69" i="3"/>
  <c r="G67" i="3"/>
  <c r="H43" i="3"/>
  <c r="H30" i="3"/>
  <c r="H26" i="3"/>
  <c r="H22" i="3"/>
  <c r="H12" i="3"/>
  <c r="G11" i="3"/>
  <c r="G39" i="3"/>
  <c r="G30" i="3"/>
  <c r="G36" i="3"/>
  <c r="G32" i="3"/>
  <c r="G12" i="3"/>
  <c r="G13" i="3"/>
  <c r="G17" i="3"/>
  <c r="G14" i="3"/>
  <c r="G157" i="3"/>
  <c r="G42" i="3"/>
  <c r="G41" i="3" s="1"/>
  <c r="G40" i="3" s="1"/>
  <c r="G21" i="3"/>
  <c r="G20" i="3" s="1"/>
  <c r="G19" i="3" s="1"/>
  <c r="H19" i="3" s="1"/>
  <c r="G15" i="3"/>
  <c r="G18" i="3"/>
  <c r="G99" i="3"/>
  <c r="G53" i="3"/>
  <c r="H53" i="3" s="1"/>
  <c r="G205" i="3"/>
  <c r="G52" i="3"/>
  <c r="G51" i="3" s="1"/>
  <c r="H54" i="3"/>
  <c r="H55" i="3"/>
  <c r="H56" i="3"/>
  <c r="H57" i="3"/>
  <c r="G28" i="3"/>
  <c r="G27" i="3" s="1"/>
  <c r="G31" i="3"/>
  <c r="G24" i="3"/>
  <c r="G23" i="3" s="1"/>
  <c r="G35" i="3"/>
  <c r="H88" i="3" l="1"/>
  <c r="H66" i="3"/>
  <c r="G26" i="3"/>
  <c r="F11" i="1"/>
  <c r="F8" i="1"/>
  <c r="F14" i="1" s="1"/>
  <c r="F30" i="1" s="1"/>
  <c r="H65" i="3" l="1"/>
  <c r="F19" i="3"/>
  <c r="F13" i="3"/>
  <c r="H13" i="3" s="1"/>
  <c r="F35" i="3"/>
  <c r="H35" i="3" s="1"/>
  <c r="F27" i="3"/>
  <c r="F23" i="3"/>
  <c r="H23" i="3" s="1"/>
  <c r="F31" i="3"/>
  <c r="H31" i="3" s="1"/>
  <c r="H40" i="3"/>
  <c r="F66" i="3"/>
  <c r="F153" i="3"/>
  <c r="F159" i="3"/>
  <c r="F88" i="3"/>
  <c r="F188" i="3"/>
  <c r="H197" i="3"/>
  <c r="F197" i="3"/>
  <c r="F191" i="3"/>
  <c r="F135" i="3"/>
  <c r="F122" i="3"/>
  <c r="F189" i="3"/>
  <c r="F121" i="3"/>
  <c r="F80" i="3"/>
  <c r="F73" i="3"/>
  <c r="F180" i="3"/>
  <c r="E132" i="7"/>
  <c r="G132" i="7" s="1"/>
  <c r="F153" i="7"/>
  <c r="E153" i="7"/>
  <c r="E160" i="7"/>
  <c r="G160" i="7" s="1"/>
  <c r="E178" i="7"/>
  <c r="E172" i="7"/>
  <c r="E99" i="7"/>
  <c r="E147" i="7"/>
  <c r="G147" i="7" s="1"/>
  <c r="E136" i="7"/>
  <c r="G136" i="7" s="1"/>
  <c r="E182" i="7"/>
  <c r="E156" i="7"/>
  <c r="G156" i="7" s="1"/>
  <c r="E175" i="7"/>
  <c r="E115" i="7"/>
  <c r="G115" i="7" s="1"/>
  <c r="E163" i="7"/>
  <c r="E161" i="7" s="1"/>
  <c r="E170" i="7"/>
  <c r="E96" i="7"/>
  <c r="G96" i="7" s="1"/>
  <c r="E75" i="7"/>
  <c r="E59" i="7"/>
  <c r="G59" i="7" s="1"/>
  <c r="E53" i="7"/>
  <c r="G53" i="7" s="1"/>
  <c r="E43" i="7"/>
  <c r="G43" i="7" s="1"/>
  <c r="E11" i="7"/>
  <c r="G11" i="7" s="1"/>
  <c r="E193" i="7"/>
  <c r="E192" i="7" s="1"/>
  <c r="E198" i="7"/>
  <c r="E214" i="7"/>
  <c r="E213" i="7" s="1"/>
  <c r="E225" i="7"/>
  <c r="E262" i="7"/>
  <c r="E267" i="7"/>
  <c r="F52" i="3"/>
  <c r="E98" i="7" l="1"/>
  <c r="G98" i="7" s="1"/>
  <c r="G99" i="7"/>
  <c r="E135" i="7"/>
  <c r="F51" i="3"/>
  <c r="H51" i="3" s="1"/>
  <c r="H52" i="3"/>
  <c r="F26" i="3"/>
  <c r="H27" i="3"/>
  <c r="F187" i="3"/>
  <c r="D10" i="5"/>
  <c r="C11" i="5"/>
  <c r="C10" i="5" l="1"/>
  <c r="E11" i="5"/>
  <c r="E10" i="5"/>
  <c r="G249" i="7"/>
  <c r="G239" i="7"/>
  <c r="F224" i="7"/>
  <c r="F223" i="7" s="1"/>
  <c r="G223" i="7" s="1"/>
  <c r="F219" i="7"/>
  <c r="F218" i="7" s="1"/>
  <c r="G218" i="7" s="1"/>
  <c r="F210" i="7"/>
  <c r="F209" i="7" s="1"/>
  <c r="G209" i="7" s="1"/>
  <c r="F192" i="7"/>
  <c r="F191" i="7" s="1"/>
  <c r="G191" i="7" s="1"/>
  <c r="F152" i="7"/>
  <c r="F95" i="7"/>
  <c r="F94" i="7" s="1"/>
  <c r="F159" i="7"/>
  <c r="F155" i="7"/>
  <c r="F130" i="7"/>
  <c r="F91" i="7"/>
  <c r="F90" i="7" s="1"/>
  <c r="F58" i="7"/>
  <c r="F57" i="7" s="1"/>
  <c r="F55" i="7"/>
  <c r="F54" i="7" s="1"/>
  <c r="F52" i="7"/>
  <c r="F51" i="7" s="1"/>
  <c r="F46" i="7"/>
  <c r="F45" i="7" s="1"/>
  <c r="F42" i="7"/>
  <c r="F41" i="7" s="1"/>
  <c r="F35" i="7"/>
  <c r="F34" i="7" s="1"/>
  <c r="F9" i="7"/>
  <c r="F261" i="7"/>
  <c r="F260" i="7" s="1"/>
  <c r="F259" i="7" l="1"/>
  <c r="G260" i="7"/>
  <c r="F212" i="7"/>
  <c r="F93" i="7"/>
  <c r="F50" i="7"/>
  <c r="F33" i="7"/>
  <c r="F8" i="7"/>
  <c r="F208" i="7"/>
  <c r="F190" i="7"/>
  <c r="F44" i="7"/>
  <c r="F40" i="7"/>
  <c r="H11" i="1"/>
  <c r="H8" i="1"/>
  <c r="G11" i="1"/>
  <c r="G8" i="1"/>
  <c r="E159" i="7"/>
  <c r="G159" i="7" s="1"/>
  <c r="E155" i="7"/>
  <c r="G155" i="7" s="1"/>
  <c r="E152" i="7"/>
  <c r="G152" i="7" s="1"/>
  <c r="E134" i="7"/>
  <c r="G134" i="7" s="1"/>
  <c r="E130" i="7"/>
  <c r="G130" i="7" s="1"/>
  <c r="E114" i="7"/>
  <c r="E113" i="7" s="1"/>
  <c r="G113" i="7" s="1"/>
  <c r="E95" i="7"/>
  <c r="E94" i="7" s="1"/>
  <c r="G94" i="7" s="1"/>
  <c r="E91" i="7"/>
  <c r="E90" i="7" s="1"/>
  <c r="G90" i="7" s="1"/>
  <c r="E55" i="7"/>
  <c r="E54" i="7" s="1"/>
  <c r="G54" i="7" s="1"/>
  <c r="E52" i="7"/>
  <c r="E51" i="7" s="1"/>
  <c r="G51" i="7" s="1"/>
  <c r="E185" i="7"/>
  <c r="E168" i="7" s="1"/>
  <c r="E58" i="7"/>
  <c r="E57" i="7" s="1"/>
  <c r="G57" i="7" s="1"/>
  <c r="E65" i="7"/>
  <c r="E64" i="7" s="1"/>
  <c r="G64" i="7" s="1"/>
  <c r="E83" i="7"/>
  <c r="G83" i="7" s="1"/>
  <c r="E74" i="7"/>
  <c r="G74" i="7" s="1"/>
  <c r="E10" i="7"/>
  <c r="E35" i="7"/>
  <c r="E33" i="7" s="1"/>
  <c r="E42" i="7"/>
  <c r="E40" i="7" s="1"/>
  <c r="E46" i="7"/>
  <c r="E44" i="7" s="1"/>
  <c r="E190" i="7"/>
  <c r="E210" i="7"/>
  <c r="E209" i="7" s="1"/>
  <c r="E224" i="7"/>
  <c r="E223" i="7" s="1"/>
  <c r="E220" i="7"/>
  <c r="E219" i="7" s="1"/>
  <c r="E218" i="7" s="1"/>
  <c r="E212" i="7" s="1"/>
  <c r="E197" i="7"/>
  <c r="E266" i="7"/>
  <c r="E265" i="7" s="1"/>
  <c r="G265" i="7" s="1"/>
  <c r="E93" i="7" l="1"/>
  <c r="F7" i="7"/>
  <c r="H14" i="1"/>
  <c r="H30" i="1" s="1"/>
  <c r="G14" i="1"/>
  <c r="G30" i="1" s="1"/>
  <c r="F195" i="7"/>
  <c r="F189" i="7" s="1"/>
  <c r="E45" i="7"/>
  <c r="G45" i="7" s="1"/>
  <c r="E73" i="7"/>
  <c r="E72" i="7" s="1"/>
  <c r="E208" i="7"/>
  <c r="E195" i="7"/>
  <c r="E196" i="7"/>
  <c r="E8" i="7"/>
  <c r="E9" i="7"/>
  <c r="G9" i="7" s="1"/>
  <c r="E264" i="7"/>
  <c r="E191" i="7"/>
  <c r="E34" i="7"/>
  <c r="G34" i="7" s="1"/>
  <c r="E41" i="7"/>
  <c r="G41" i="7" s="1"/>
  <c r="E250" i="7"/>
  <c r="E249" i="7" s="1"/>
  <c r="E240" i="7"/>
  <c r="E239" i="7" s="1"/>
  <c r="E50" i="7" l="1"/>
  <c r="E7" i="7" s="1"/>
  <c r="G72" i="7"/>
  <c r="F4" i="7"/>
  <c r="G4" i="7"/>
  <c r="F30" i="3"/>
  <c r="F12" i="3"/>
  <c r="G43" i="3"/>
  <c r="G22" i="3"/>
  <c r="F43" i="3"/>
  <c r="F39" i="3"/>
  <c r="H39" i="3" s="1"/>
  <c r="F22" i="3"/>
  <c r="F11" i="3" l="1"/>
  <c r="E230" i="7"/>
  <c r="E229" i="7" s="1"/>
  <c r="E228" i="7" s="1"/>
  <c r="F8" i="3" l="1"/>
  <c r="F200" i="3"/>
  <c r="F96" i="3"/>
  <c r="H96" i="3" s="1"/>
  <c r="E263" i="7"/>
  <c r="E261" i="7" s="1"/>
  <c r="E260" i="7" s="1"/>
  <c r="E259" i="7" s="1"/>
  <c r="F65" i="3"/>
  <c r="F219" i="3"/>
  <c r="F179" i="3"/>
  <c r="G199" i="3" l="1"/>
  <c r="F64" i="3"/>
  <c r="E189" i="7"/>
  <c r="E4" i="7" s="1"/>
  <c r="G64" i="3"/>
  <c r="F199" i="3"/>
  <c r="H61" i="3" l="1"/>
  <c r="F61" i="3"/>
  <c r="G61" i="3"/>
</calcChain>
</file>

<file path=xl/sharedStrings.xml><?xml version="1.0" encoding="utf-8"?>
<sst xmlns="http://schemas.openxmlformats.org/spreadsheetml/2006/main" count="658" uniqueCount="231">
  <si>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</si>
  <si>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</si>
  <si>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</si>
  <si>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</si>
  <si>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</si>
  <si>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</si>
  <si>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</si>
  <si>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</si>
  <si>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</si>
  <si>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</si>
  <si>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</si>
  <si>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</si>
  <si>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</si>
  <si>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</si>
  <si>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</si>
  <si>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</si>
  <si>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</si>
  <si>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</si>
  <si>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</si>
  <si>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</si>
  <si>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</si>
  <si>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</si>
  <si>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</si>
  <si>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</si>
  <si>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</si>
  <si>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II. POSEBNI DIO</t>
  </si>
  <si>
    <t>I. OPĆI DIO</t>
  </si>
  <si>
    <t>Šifra</t>
  </si>
  <si>
    <t xml:space="preserve">Naziv </t>
  </si>
  <si>
    <t>Materijalni rashodi</t>
  </si>
  <si>
    <t>A) SAŽETAK RAČUNA PRIHODA I RASHODA</t>
  </si>
  <si>
    <t>B) SAŽETAK RAČUNA FINANCIRANJA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</si>
  <si>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</si>
  <si>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</si>
  <si>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</si>
  <si>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</si>
  <si>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</si>
  <si>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</si>
  <si>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</si>
  <si>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</si>
  <si>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Prihodi od imovine</t>
  </si>
  <si>
    <t>Prihodi od upravnih i administrativnih pristojbi, pristojbi po posebnim propisima i naknada</t>
  </si>
  <si>
    <t>Kazne, upravne mjere i ostali prihodi</t>
  </si>
  <si>
    <t>Financijski rashodi</t>
  </si>
  <si>
    <t>Naknade građanima i kućanstvima na temelju osiguranja i druge naknade</t>
  </si>
  <si>
    <t>Rashodi za dodatna ulaganja na nefinancijskoj imovini</t>
  </si>
  <si>
    <t xml:space="preserve">Prihodi od prodaje proizvoda i robe te pruženih usluga, prihodi od donacija </t>
  </si>
  <si>
    <t>09 Obrazovanje</t>
  </si>
  <si>
    <t>0912 Osnovno obrazovanje</t>
  </si>
  <si>
    <t>096 Dodatne usluge u obrazovanju</t>
  </si>
  <si>
    <t>Prihodi za posebne namjene</t>
  </si>
  <si>
    <t>Pomoći</t>
  </si>
  <si>
    <t>Vlastiti prihodi</t>
  </si>
  <si>
    <t>Donacije</t>
  </si>
  <si>
    <t>EUR</t>
  </si>
  <si>
    <t>HZZ PRIPRAVNIK</t>
  </si>
  <si>
    <t>EU</t>
  </si>
  <si>
    <t>Aktivnost 1012-01</t>
  </si>
  <si>
    <t xml:space="preserve"> Materijalni rashodi škola</t>
  </si>
  <si>
    <t xml:space="preserve">Aktivnost 1012-02 </t>
  </si>
  <si>
    <t>Financijski rashodi škola</t>
  </si>
  <si>
    <t xml:space="preserve">Kapitalni projekt 1012-03 </t>
  </si>
  <si>
    <t>Opremanje škola</t>
  </si>
  <si>
    <t>Kapitalni projekt 1012-04</t>
  </si>
  <si>
    <t>Rashodi za dodatna ulaganja na školama</t>
  </si>
  <si>
    <t>Aktivnost 1012-09</t>
  </si>
  <si>
    <t>Vlastiti i namjenski prihodi škola - rashodi za zaposlene</t>
  </si>
  <si>
    <t>Aktivnost 1012-10</t>
  </si>
  <si>
    <t>Vlastiti i namjenski prihodi škola - materijalni rashodi</t>
  </si>
  <si>
    <t>Aktivnost 1012-11</t>
  </si>
  <si>
    <t>Vlastiti i namjenski prihodi škola - financijski rashodi</t>
  </si>
  <si>
    <t>Aktivnost 1012-12</t>
  </si>
  <si>
    <t>Vlastiti i namjenski prihodi škola - opremanje škola</t>
  </si>
  <si>
    <t>PROGRAM 1013</t>
  </si>
  <si>
    <t>Izvanstandardni progami u školama</t>
  </si>
  <si>
    <t>Aktivnost 1013-04</t>
  </si>
  <si>
    <t>Aktivnost 1013-06</t>
  </si>
  <si>
    <t>Produženi boravak</t>
  </si>
  <si>
    <t>Aktivnost 1013-07</t>
  </si>
  <si>
    <t>Aktivnost 1013-13</t>
  </si>
  <si>
    <t>Aktivnost 1013-14</t>
  </si>
  <si>
    <t>Aktivnost 1013-16</t>
  </si>
  <si>
    <t>Potpora stručnim službama osnovnih škola - logoped</t>
  </si>
  <si>
    <t>Aktivnost 1013-18</t>
  </si>
  <si>
    <t>Centar DaR</t>
  </si>
  <si>
    <t>Izvor financiranja 57</t>
  </si>
  <si>
    <t>Izvor financiranja 11</t>
  </si>
  <si>
    <t>Izvor financiranja 31</t>
  </si>
  <si>
    <t xml:space="preserve">Vlastiti prihodi </t>
  </si>
  <si>
    <t>Izvor financiranja 41</t>
  </si>
  <si>
    <t>Izvor financiranja 6103</t>
  </si>
  <si>
    <t>Vlastiti izvori</t>
  </si>
  <si>
    <t>Višak prihoda poslovanja</t>
  </si>
  <si>
    <t>Vlastiti prihodi - višak</t>
  </si>
  <si>
    <t>VIŠAK KORIŠTEN ZA POKRIĆE RASHODA</t>
  </si>
  <si>
    <t>Prihodi za posebne namjene - višak</t>
  </si>
  <si>
    <t>Pomoći - višak</t>
  </si>
  <si>
    <t>HZZ PRIPRAVNIK - višak</t>
  </si>
  <si>
    <t>Donacije - višak</t>
  </si>
  <si>
    <t>Pomoći MZO rashodi za zaposlene</t>
  </si>
  <si>
    <t>Izvor financiranja 92530</t>
  </si>
  <si>
    <t>Pomoćnici u nastavi - Škola puna mogućnosti 6</t>
  </si>
  <si>
    <t>Izvor financiranja 5402</t>
  </si>
  <si>
    <t>Prehrana učenika u osnovnim školama 5,47 i Šk. shema</t>
  </si>
  <si>
    <t>Financiranje nabave drugih obrazovnih materijala - radne bilježnice</t>
  </si>
  <si>
    <t>Izvanškolske aktivnosti, UZ Maraška, Novigradsko proljeće</t>
  </si>
  <si>
    <t>Materijalni rashodi - prijevoz</t>
  </si>
  <si>
    <t>31-COP</t>
  </si>
  <si>
    <t>31-MENTORSTVA</t>
  </si>
  <si>
    <t>32-PRIJEVOZ DJELATNIKA COP</t>
  </si>
  <si>
    <t>32-NAKNADA INVALIDI</t>
  </si>
  <si>
    <t>32-ISLAMSKI VJERONAUK</t>
  </si>
  <si>
    <t>Prihodi za posebne namjene - školska kuhinja</t>
  </si>
  <si>
    <t>Izvor financiranja 9231</t>
  </si>
  <si>
    <t>Izvor financiranja 9241</t>
  </si>
  <si>
    <t>MZO lektira</t>
  </si>
  <si>
    <t>MZO udžbenici</t>
  </si>
  <si>
    <t>Izvor financiranja 9257</t>
  </si>
  <si>
    <t>Rashodi za zaposlene (pripravnica razlika za osnovicu)</t>
  </si>
  <si>
    <t>Rashodi za zaposlene (dar u naravi, pripravnica razlika za osnovicu)</t>
  </si>
  <si>
    <t>Rashodi za zaposlene voditelje ŠSD</t>
  </si>
  <si>
    <t>Izvor financiranja 926103</t>
  </si>
  <si>
    <t>Materijalni rashodi (najam dvorane, uz maraška, ost prih)</t>
  </si>
  <si>
    <t>Naknade građanima i kućanstvima na temelju osiguranja i druge naknade (radne bilježnice)</t>
  </si>
  <si>
    <t xml:space="preserve">Prihodi za posebne namjene </t>
  </si>
  <si>
    <t>EUR*</t>
  </si>
  <si>
    <t xml:space="preserve">PROGRAM 1012 </t>
  </si>
  <si>
    <t>Osnovnoškolsko obrazovanje</t>
  </si>
  <si>
    <t>PROJEKTI</t>
  </si>
  <si>
    <t>Ostale tekuće donacije u naravi</t>
  </si>
  <si>
    <t>Izvor financiranja 925401</t>
  </si>
  <si>
    <t>Projekti</t>
  </si>
  <si>
    <t>Projekti - višak</t>
  </si>
  <si>
    <t xml:space="preserve"> Procjena 2005.</t>
  </si>
  <si>
    <t xml:space="preserve"> Procjena 2006.</t>
  </si>
  <si>
    <t>Oznaka IF</t>
  </si>
  <si>
    <t>RASHODI</t>
  </si>
  <si>
    <t>3</t>
  </si>
  <si>
    <t>POLUGODIŠNJI IZVJEŠTAJ O IZVRŠENJU FINANCIJSKOG PLANA ZA 2023.g.</t>
  </si>
  <si>
    <t>Izvršenje prethodne godine</t>
  </si>
  <si>
    <t>Plan tekuće godine</t>
  </si>
  <si>
    <t>Izvršenje tekuće godine</t>
  </si>
  <si>
    <t>Indeks</t>
  </si>
  <si>
    <t>5=4/3*100</t>
  </si>
  <si>
    <t>Naziv</t>
  </si>
  <si>
    <t xml:space="preserve">Izvršenje tekuće godine </t>
  </si>
  <si>
    <t>4=3/2*100</t>
  </si>
  <si>
    <t>POM PROR KORISNICIMA IZ PRORAČUNA KOJI IM NIJE NADLEŽAN</t>
  </si>
  <si>
    <t>TEK POM PROR KORISNICIMA IZ PRORAČUNA KOJI IM NIJE NADLEŽAN</t>
  </si>
  <si>
    <t>KAPITALNE POM PROR KORISNICIMA IZ PRORAČUNA KOJI IM NIJE NADLEŽAN</t>
  </si>
  <si>
    <t>PRIJENOSI IZMEĐU PROR KORISNIKA ISTOG PRORAČUNA</t>
  </si>
  <si>
    <t>TEKUĆI PRIJENOSI IZMEĐU PROR KORISNIKA ISTOG PRORAČUNA</t>
  </si>
  <si>
    <t>Skupina/podskupina/odjeljak</t>
  </si>
  <si>
    <t>TEKUĆI PRIJENOSI IZMEĐU PROR KORISNIKA ISTOG PRORAČUNA TEMELJEM PRIJENOSA EU SREDSTAVA</t>
  </si>
  <si>
    <t>PRIHODI OD FINANCIJSKE IMOVINE</t>
  </si>
  <si>
    <t>KAMATE NA OROČENA SREDSTVA I DEPOZITE PO VIĐENJU</t>
  </si>
  <si>
    <t>PRIHODI PO POSEBNIM PROPISIMA</t>
  </si>
  <si>
    <t>OSTALI NESPOMENUTI PRIHODI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</si>
  <si>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</si>
  <si>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</si>
  <si>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</si>
  <si>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 I POVRAT DONACIJA PO PROTESTIRANIM JAMSTVIMA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</si>
  <si>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</si>
  <si>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</si>
  <si>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</si>
  <si>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</si>
  <si>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</si>
  <si>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</si>
  <si>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</si>
  <si>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</si>
  <si>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</si>
  <si>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</si>
  <si>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</si>
  <si>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</si>
  <si>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</si>
  <si>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</si>
  <si>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</si>
  <si>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TROŠKOVI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</si>
  <si>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</si>
  <si>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</si>
  <si>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</si>
  <si>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</si>
  <si>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</si>
  <si>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</si>
  <si>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</si>
  <si>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</si>
  <si>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</si>
  <si>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</si>
  <si>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</si>
  <si>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</si>
  <si>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</si>
  <si>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</si>
  <si>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 I NORME</t>
  </si>
  <si>
    <t>NAKNADE TROŠKOVA OSOBAMA IZVAN RADNOG ODNOSA</t>
  </si>
  <si>
    <t>SLUŽBENA, RADNA I ZAŠTITNA ODJEĆA I OBUĆA</t>
  </si>
  <si>
    <t>ZDRAVSTVENE I VETERINARSKE USLUGE</t>
  </si>
  <si>
    <t>NAKNADE ZA RAD PREDSTAVNIČKIH I IZVRŠNIH TIJELA, POVJERENSTAVA I SLIČNO</t>
  </si>
  <si>
    <t>PRISTOJBE I NAKNADE</t>
  </si>
  <si>
    <t>OSTALI FINANCIJSKI RASHODI</t>
  </si>
  <si>
    <t>BANKARSKE USLUGE I USLUGE PLATNOG PROMETA</t>
  </si>
  <si>
    <t>ZATEZNE KAMATE</t>
  </si>
  <si>
    <t>OSTALE NAKNADE GRAĐANIMA I KUĆANSTVIMA IZ PRORAČUNA</t>
  </si>
  <si>
    <t>NAKNADE GRAĐANIMA I KUĆANSTVIMA U NOVCU</t>
  </si>
  <si>
    <t>NAKNADE GRAĐANIMA I KUĆANSTVIMA U NARAVI</t>
  </si>
  <si>
    <t>POSTROJENJA I OPREMA</t>
  </si>
  <si>
    <t>UREDSKA OPREMA I NAMJEŠTAJ</t>
  </si>
  <si>
    <t>UREĐAJI, STROJEVI I OPREMA ZA OSTALE NAMJENE</t>
  </si>
  <si>
    <t>OPREMA ZA ODRŽAVANJE I ZAŠTITU</t>
  </si>
  <si>
    <t>KNJIGE, UMJETNIČKA DJELA I OSTALE IZLOŽBENE VRIJEDNOSTI</t>
  </si>
  <si>
    <t>KNJIGE</t>
  </si>
  <si>
    <t>DODATNA ULAGANJA NA GRAĐEVINSKIM OBJEKTIMA</t>
  </si>
  <si>
    <t>Tekući plan</t>
  </si>
  <si>
    <t>4</t>
  </si>
  <si>
    <t>PREGLED UKUPNIH PRIHODA I RASHODA</t>
  </si>
  <si>
    <t>PO IZVORIMA FINANCIRANJA</t>
  </si>
  <si>
    <t xml:space="preserve">Korisnik proračuna              OSNOVNA ŠKOLA BARTULA KAŠIĆA </t>
  </si>
  <si>
    <t>Naziv izvora financiranja</t>
  </si>
  <si>
    <t>INDEKS (3/2*100)</t>
  </si>
  <si>
    <t>OPĆI PRIHODI I PRIMICI</t>
  </si>
  <si>
    <t>PRIHODI</t>
  </si>
  <si>
    <t>VLASTITI PRIHODI</t>
  </si>
  <si>
    <t>PRIHODI ZA POSEBNE NAMJENE</t>
  </si>
  <si>
    <t>POMOĆI</t>
  </si>
  <si>
    <t>DONACIJE</t>
  </si>
  <si>
    <t>PRIHODI OD NEF IMOVINE</t>
  </si>
  <si>
    <t>UKUPNI PRIHODI</t>
  </si>
  <si>
    <t>(proračunski)          ZADAR, BRIBIRSKI PRILAZ 2</t>
  </si>
  <si>
    <t xml:space="preserve">Izvršenje </t>
  </si>
  <si>
    <t>VIŠAK KORIŠTEN ZA POKRIĆE RASHODA TEK GOD</t>
  </si>
  <si>
    <t>VIŠAK KORIŠTEN ZA RASHODE TEKUĆE GODINE</t>
  </si>
  <si>
    <t>RAZLIKA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</si>
</sst>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EUR]"/>
  </numFmts>
  <fonts count="5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i/>
      <sz val="10"/>
      <color theme="8" tint="-0.249977111117893"/>
      <name val="Arial"/>
      <family val="2"/>
      <charset val="238"/>
    </font>
    <font>
      <sz val="10"/>
      <color theme="8" tint="-0.249977111117893"/>
      <name val="Arial"/>
      <family val="2"/>
      <charset val="238"/>
    </font>
    <font>
      <sz val="10"/>
      <color theme="8" tint="-0.249977111117893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i/>
      <sz val="10"/>
      <color theme="8" tint="-0.249977111117893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  <font>
      <i/>
      <sz val="10"/>
      <color theme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</font>
    <font>
      <b/>
      <sz val="12"/>
      <color rgb="FF002060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i/>
      <sz val="9"/>
      <color indexed="8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i/>
      <sz val="10"/>
      <color rgb="FFFF0000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4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i/>
      <sz val="11"/>
      <color theme="4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name val="Arial"/>
      <family val="2"/>
      <charset val="238"/>
    </font>
    <font>
      <b/>
      <i/>
      <sz val="11"/>
      <name val="Times New Roman"/>
      <family val="1"/>
      <charset val="238"/>
    </font>
    <font>
      <i/>
      <sz val="10"/>
      <color theme="4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</borders>
  <cellStyleXfs count="9">
    <xf numFmtId="0" fontId="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9" fillId="0" borderId="0"/>
  </cellStyleXfs>
  <cellXfs count="272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1" fillId="5" borderId="3" xfId="0" applyNumberFormat="1" applyFont="1" applyFill="1" applyBorder="1" applyAlignment="1" applyProtection="1">
      <alignment horizontal="left" vertical="center" wrapText="1"/>
    </xf>
    <xf numFmtId="0" fontId="9" fillId="5" borderId="3" xfId="0" applyNumberFormat="1" applyFont="1" applyFill="1" applyBorder="1" applyAlignment="1" applyProtection="1">
      <alignment horizontal="left" vertical="center" wrapText="1"/>
    </xf>
    <xf numFmtId="0" fontId="9" fillId="5" borderId="3" xfId="0" quotePrefix="1" applyFont="1" applyFill="1" applyBorder="1" applyAlignment="1">
      <alignment horizontal="left" vertical="center"/>
    </xf>
    <xf numFmtId="0" fontId="10" fillId="5" borderId="3" xfId="0" quotePrefix="1" applyFont="1" applyFill="1" applyBorder="1" applyAlignment="1">
      <alignment horizontal="left" vertical="center"/>
    </xf>
    <xf numFmtId="0" fontId="9" fillId="5" borderId="3" xfId="0" quotePrefix="1" applyFont="1" applyFill="1" applyBorder="1" applyAlignment="1">
      <alignment horizontal="left" vertical="center" wrapText="1"/>
    </xf>
    <xf numFmtId="0" fontId="9" fillId="5" borderId="3" xfId="0" applyNumberFormat="1" applyFont="1" applyFill="1" applyBorder="1" applyAlignment="1" applyProtection="1">
      <alignment vertical="center" wrapText="1"/>
    </xf>
    <xf numFmtId="0" fontId="9" fillId="0" borderId="3" xfId="0" quotePrefix="1" applyFont="1" applyFill="1" applyBorder="1" applyAlignment="1">
      <alignment horizontal="left" vertical="center"/>
    </xf>
    <xf numFmtId="0" fontId="11" fillId="7" borderId="3" xfId="0" applyNumberFormat="1" applyFont="1" applyFill="1" applyBorder="1" applyAlignment="1" applyProtection="1">
      <alignment horizontal="left" vertical="center" wrapText="1"/>
    </xf>
    <xf numFmtId="3" fontId="3" fillId="7" borderId="3" xfId="0" applyNumberFormat="1" applyFont="1" applyFill="1" applyBorder="1" applyAlignment="1">
      <alignment horizontal="right"/>
    </xf>
    <xf numFmtId="0" fontId="11" fillId="7" borderId="3" xfId="0" applyFont="1" applyFill="1" applyBorder="1" applyAlignment="1">
      <alignment horizontal="left" vertical="center"/>
    </xf>
    <xf numFmtId="0" fontId="11" fillId="7" borderId="3" xfId="0" applyNumberFormat="1" applyFont="1" applyFill="1" applyBorder="1" applyAlignment="1" applyProtection="1">
      <alignment horizontal="left" vertical="center"/>
    </xf>
    <xf numFmtId="0" fontId="11" fillId="7" borderId="3" xfId="0" applyNumberFormat="1" applyFont="1" applyFill="1" applyBorder="1" applyAlignment="1" applyProtection="1">
      <alignment vertical="center" wrapText="1"/>
    </xf>
    <xf numFmtId="0" fontId="19" fillId="0" borderId="0" xfId="0" applyNumberFormat="1" applyFont="1" applyFill="1" applyBorder="1" applyAlignment="1" applyProtection="1">
      <alignment horizontal="right" vertical="center" wrapText="1"/>
    </xf>
    <xf numFmtId="0" fontId="11" fillId="8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2" borderId="0" xfId="0" quotePrefix="1" applyFont="1" applyFill="1" applyBorder="1" applyAlignment="1">
      <alignment horizontal="left" vertical="center"/>
    </xf>
    <xf numFmtId="0" fontId="10" fillId="2" borderId="0" xfId="0" quotePrefix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12" fillId="2" borderId="3" xfId="0" applyNumberFormat="1" applyFont="1" applyFill="1" applyBorder="1" applyAlignment="1">
      <alignment horizontal="right"/>
    </xf>
    <xf numFmtId="4" fontId="12" fillId="2" borderId="3" xfId="0" applyNumberFormat="1" applyFont="1" applyFill="1" applyBorder="1" applyAlignment="1" applyProtection="1">
      <alignment horizontal="right" wrapText="1"/>
    </xf>
    <xf numFmtId="4" fontId="3" fillId="5" borderId="3" xfId="0" applyNumberFormat="1" applyFont="1" applyFill="1" applyBorder="1" applyAlignment="1">
      <alignment horizontal="right"/>
    </xf>
    <xf numFmtId="0" fontId="10" fillId="2" borderId="3" xfId="0" quotePrefix="1" applyFont="1" applyFill="1" applyBorder="1" applyAlignment="1">
      <alignment horizontal="left" vertical="center" shrinkToFit="1"/>
    </xf>
    <xf numFmtId="4" fontId="3" fillId="0" borderId="3" xfId="0" applyNumberFormat="1" applyFont="1" applyFill="1" applyBorder="1" applyAlignment="1">
      <alignment horizontal="right"/>
    </xf>
    <xf numFmtId="4" fontId="6" fillId="7" borderId="3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4" fontId="3" fillId="8" borderId="3" xfId="0" applyNumberFormat="1" applyFont="1" applyFill="1" applyBorder="1" applyAlignment="1">
      <alignment horizontal="right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4" fontId="5" fillId="6" borderId="3" xfId="0" applyNumberFormat="1" applyFont="1" applyFill="1" applyBorder="1" applyAlignment="1">
      <alignment horizontal="right"/>
    </xf>
    <xf numFmtId="0" fontId="9" fillId="0" borderId="3" xfId="0" quotePrefix="1" applyFont="1" applyFill="1" applyBorder="1" applyAlignment="1">
      <alignment horizontal="left" vertical="center" wrapText="1"/>
    </xf>
    <xf numFmtId="4" fontId="5" fillId="9" borderId="3" xfId="0" applyNumberFormat="1" applyFont="1" applyFill="1" applyBorder="1" applyAlignment="1">
      <alignment horizontal="right"/>
    </xf>
    <xf numFmtId="0" fontId="20" fillId="2" borderId="4" xfId="0" applyNumberFormat="1" applyFont="1" applyFill="1" applyBorder="1" applyAlignment="1" applyProtection="1">
      <alignment horizontal="left" vertical="center" wrapText="1"/>
    </xf>
    <xf numFmtId="4" fontId="20" fillId="2" borderId="3" xfId="0" applyNumberFormat="1" applyFont="1" applyFill="1" applyBorder="1" applyAlignment="1">
      <alignment horizontal="right"/>
    </xf>
    <xf numFmtId="0" fontId="21" fillId="2" borderId="4" xfId="0" applyNumberFormat="1" applyFont="1" applyFill="1" applyBorder="1" applyAlignment="1" applyProtection="1">
      <alignment horizontal="left" vertical="center" wrapText="1"/>
    </xf>
    <xf numFmtId="4" fontId="21" fillId="2" borderId="3" xfId="0" applyNumberFormat="1" applyFont="1" applyFill="1" applyBorder="1" applyAlignment="1">
      <alignment horizontal="right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2" fillId="2" borderId="4" xfId="0" applyNumberFormat="1" applyFont="1" applyFill="1" applyBorder="1" applyAlignment="1" applyProtection="1">
      <alignment horizontal="left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4" fontId="6" fillId="3" borderId="1" xfId="0" quotePrefix="1" applyNumberFormat="1" applyFont="1" applyFill="1" applyBorder="1" applyAlignment="1">
      <alignment horizontal="right"/>
    </xf>
    <xf numFmtId="4" fontId="6" fillId="4" borderId="1" xfId="0" quotePrefix="1" applyNumberFormat="1" applyFont="1" applyFill="1" applyBorder="1" applyAlignment="1">
      <alignment horizontal="right"/>
    </xf>
    <xf numFmtId="4" fontId="20" fillId="2" borderId="3" xfId="0" applyNumberFormat="1" applyFont="1" applyFill="1" applyBorder="1" applyAlignment="1" applyProtection="1">
      <alignment horizontal="right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164" fontId="19" fillId="2" borderId="3" xfId="0" applyNumberFormat="1" applyFont="1" applyFill="1" applyBorder="1" applyAlignment="1">
      <alignment horizontal="right"/>
    </xf>
    <xf numFmtId="164" fontId="26" fillId="2" borderId="3" xfId="0" applyNumberFormat="1" applyFont="1" applyFill="1" applyBorder="1" applyAlignment="1">
      <alignment horizontal="right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21" fillId="2" borderId="4" xfId="0" applyNumberFormat="1" applyFont="1" applyFill="1" applyBorder="1" applyAlignment="1" applyProtection="1">
      <alignment horizontal="left" vertical="center" wrapText="1"/>
    </xf>
    <xf numFmtId="4" fontId="5" fillId="0" borderId="3" xfId="0" applyNumberFormat="1" applyFont="1" applyFill="1" applyBorder="1" applyAlignment="1">
      <alignment horizontal="right"/>
    </xf>
    <xf numFmtId="4" fontId="12" fillId="0" borderId="3" xfId="0" applyNumberFormat="1" applyFont="1" applyFill="1" applyBorder="1" applyAlignment="1">
      <alignment horizontal="right"/>
    </xf>
    <xf numFmtId="4" fontId="27" fillId="0" borderId="3" xfId="0" applyNumberFormat="1" applyFont="1" applyFill="1" applyBorder="1" applyAlignment="1" applyProtection="1">
      <alignment horizontal="right"/>
      <protection locked="0"/>
    </xf>
    <xf numFmtId="4" fontId="5" fillId="6" borderId="3" xfId="0" applyNumberFormat="1" applyFont="1" applyFill="1" applyBorder="1" applyAlignment="1" applyProtection="1">
      <alignment horizontal="right"/>
      <protection locked="0"/>
    </xf>
    <xf numFmtId="0" fontId="9" fillId="0" borderId="4" xfId="0" quotePrefix="1" applyFont="1" applyFill="1" applyBorder="1" applyAlignment="1">
      <alignment horizontal="left" vertical="center" wrapText="1"/>
    </xf>
    <xf numFmtId="4" fontId="27" fillId="2" borderId="3" xfId="0" applyNumberFormat="1" applyFont="1" applyFill="1" applyBorder="1" applyAlignment="1">
      <alignment horizontal="right"/>
    </xf>
    <xf numFmtId="0" fontId="21" fillId="2" borderId="4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31" fillId="2" borderId="0" xfId="2" applyFont="1" applyFill="1" applyAlignment="1">
      <alignment vertical="center" wrapText="1"/>
    </xf>
    <xf numFmtId="0" fontId="6" fillId="0" borderId="3" xfId="0" quotePrefix="1" applyNumberFormat="1" applyFont="1" applyFill="1" applyBorder="1" applyAlignment="1" applyProtection="1">
      <alignment horizontal="center" wrapText="1"/>
    </xf>
    <xf numFmtId="0" fontId="9" fillId="0" borderId="3" xfId="0" applyNumberFormat="1" applyFont="1" applyFill="1" applyBorder="1" applyAlignment="1" applyProtection="1">
      <alignment vertical="center"/>
    </xf>
    <xf numFmtId="0" fontId="9" fillId="3" borderId="3" xfId="0" applyNumberFormat="1" applyFont="1" applyFill="1" applyBorder="1" applyAlignment="1" applyProtection="1">
      <alignment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6" fillId="4" borderId="3" xfId="0" applyNumberFormat="1" applyFont="1" applyFill="1" applyBorder="1" applyAlignment="1" applyProtection="1">
      <alignment horizontal="left" vertical="center" wrapText="1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3" fillId="4" borderId="4" xfId="0" applyNumberFormat="1" applyFont="1" applyFill="1" applyBorder="1" applyAlignment="1" applyProtection="1">
      <alignment horizontal="center" vertical="center" wrapText="1"/>
    </xf>
    <xf numFmtId="0" fontId="3" fillId="4" borderId="3" xfId="0" applyNumberFormat="1" applyFont="1" applyFill="1" applyBorder="1" applyAlignment="1" applyProtection="1">
      <alignment horizontal="center" vertical="center" wrapText="1"/>
    </xf>
    <xf numFmtId="0" fontId="19" fillId="4" borderId="3" xfId="0" applyNumberFormat="1" applyFont="1" applyFill="1" applyBorder="1" applyAlignment="1" applyProtection="1">
      <alignment horizontal="center" vertical="center" wrapText="1"/>
    </xf>
    <xf numFmtId="0" fontId="32" fillId="4" borderId="3" xfId="0" applyNumberFormat="1" applyFont="1" applyFill="1" applyBorder="1" applyAlignment="1" applyProtection="1">
      <alignment horizontal="center" vertical="center" wrapText="1"/>
    </xf>
    <xf numFmtId="3" fontId="33" fillId="10" borderId="6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34" fillId="4" borderId="3" xfId="0" applyNumberFormat="1" applyFont="1" applyFill="1" applyBorder="1" applyAlignment="1" applyProtection="1">
      <alignment horizontal="center" vertical="center" wrapText="1"/>
    </xf>
    <xf numFmtId="0" fontId="35" fillId="0" borderId="0" xfId="0" applyFont="1"/>
    <xf numFmtId="0" fontId="36" fillId="2" borderId="3" xfId="0" quotePrefix="1" applyFont="1" applyFill="1" applyBorder="1" applyAlignment="1">
      <alignment horizontal="left" vertical="center"/>
    </xf>
    <xf numFmtId="4" fontId="36" fillId="2" borderId="3" xfId="0" applyNumberFormat="1" applyFont="1" applyFill="1" applyBorder="1" applyAlignment="1">
      <alignment horizontal="right"/>
    </xf>
    <xf numFmtId="0" fontId="37" fillId="0" borderId="0" xfId="0" applyFont="1"/>
    <xf numFmtId="0" fontId="38" fillId="2" borderId="3" xfId="0" quotePrefix="1" applyFont="1" applyFill="1" applyBorder="1" applyAlignment="1">
      <alignment horizontal="left" vertical="center"/>
    </xf>
    <xf numFmtId="4" fontId="38" fillId="2" borderId="3" xfId="0" applyNumberFormat="1" applyFont="1" applyFill="1" applyBorder="1" applyAlignment="1">
      <alignment horizontal="right"/>
    </xf>
    <xf numFmtId="0" fontId="29" fillId="0" borderId="0" xfId="0" applyFont="1"/>
    <xf numFmtId="4" fontId="6" fillId="2" borderId="3" xfId="0" applyNumberFormat="1" applyFont="1" applyFill="1" applyBorder="1" applyAlignment="1">
      <alignment horizontal="right"/>
    </xf>
    <xf numFmtId="0" fontId="36" fillId="2" borderId="3" xfId="0" quotePrefix="1" applyFont="1" applyFill="1" applyBorder="1" applyAlignment="1">
      <alignment horizontal="left" vertical="center" shrinkToFit="1"/>
    </xf>
    <xf numFmtId="0" fontId="38" fillId="0" borderId="3" xfId="0" quotePrefix="1" applyFont="1" applyFill="1" applyBorder="1" applyAlignment="1">
      <alignment horizontal="left" vertical="center"/>
    </xf>
    <xf numFmtId="4" fontId="38" fillId="0" borderId="3" xfId="0" applyNumberFormat="1" applyFont="1" applyFill="1" applyBorder="1" applyAlignment="1">
      <alignment horizontal="right"/>
    </xf>
    <xf numFmtId="0" fontId="39" fillId="2" borderId="3" xfId="0" quotePrefix="1" applyFont="1" applyFill="1" applyBorder="1" applyAlignment="1">
      <alignment horizontal="left" vertical="center"/>
    </xf>
    <xf numFmtId="0" fontId="38" fillId="2" borderId="3" xfId="0" applyNumberFormat="1" applyFont="1" applyFill="1" applyBorder="1" applyAlignment="1" applyProtection="1">
      <alignment horizontal="left" vertical="center" wrapText="1"/>
    </xf>
    <xf numFmtId="0" fontId="11" fillId="0" borderId="3" xfId="0" quotePrefix="1" applyFont="1" applyFill="1" applyBorder="1" applyAlignment="1">
      <alignment horizontal="left" vertical="center"/>
    </xf>
    <xf numFmtId="0" fontId="40" fillId="2" borderId="3" xfId="0" quotePrefix="1" applyFont="1" applyFill="1" applyBorder="1" applyAlignment="1">
      <alignment horizontal="left" vertical="center" wrapText="1"/>
    </xf>
    <xf numFmtId="0" fontId="40" fillId="2" borderId="3" xfId="0" quotePrefix="1" applyFont="1" applyFill="1" applyBorder="1" applyAlignment="1">
      <alignment horizontal="left" vertical="center"/>
    </xf>
    <xf numFmtId="0" fontId="40" fillId="2" borderId="3" xfId="0" quotePrefix="1" applyFont="1" applyFill="1" applyBorder="1" applyAlignment="1">
      <alignment horizontal="left" vertical="center" shrinkToFit="1"/>
    </xf>
    <xf numFmtId="4" fontId="26" fillId="2" borderId="3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4" fontId="3" fillId="8" borderId="3" xfId="0" applyNumberFormat="1" applyFont="1" applyFill="1" applyBorder="1" applyAlignment="1">
      <alignment horizontal="center"/>
    </xf>
    <xf numFmtId="4" fontId="3" fillId="5" borderId="3" xfId="0" applyNumberFormat="1" applyFont="1" applyFill="1" applyBorder="1" applyAlignment="1">
      <alignment horizontal="center"/>
    </xf>
    <xf numFmtId="4" fontId="36" fillId="2" borderId="3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8" fillId="2" borderId="3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3" fontId="3" fillId="7" borderId="3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4" fontId="6" fillId="7" borderId="3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4" fontId="38" fillId="0" borderId="3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center"/>
    </xf>
    <xf numFmtId="0" fontId="41" fillId="0" borderId="0" xfId="8" applyNumberFormat="1" applyFont="1" applyAlignment="1">
      <alignment horizontal="center"/>
    </xf>
    <xf numFmtId="3" fontId="41" fillId="0" borderId="0" xfId="8" applyNumberFormat="1" applyFont="1"/>
    <xf numFmtId="0" fontId="41" fillId="0" borderId="0" xfId="8" applyFont="1" applyAlignment="1">
      <alignment horizontal="center" wrapText="1"/>
    </xf>
    <xf numFmtId="0" fontId="45" fillId="0" borderId="0" xfId="8" applyFont="1" applyFill="1" applyAlignment="1">
      <alignment horizontal="center" wrapText="1"/>
    </xf>
    <xf numFmtId="3" fontId="46" fillId="0" borderId="5" xfId="8" quotePrefix="1" applyNumberFormat="1" applyFont="1" applyBorder="1" applyAlignment="1">
      <alignment horizontal="left"/>
    </xf>
    <xf numFmtId="3" fontId="41" fillId="0" borderId="7" xfId="8" applyNumberFormat="1" applyFont="1" applyBorder="1"/>
    <xf numFmtId="3" fontId="45" fillId="0" borderId="7" xfId="8" applyNumberFormat="1" applyFont="1" applyFill="1" applyBorder="1" applyAlignment="1">
      <alignment wrapText="1"/>
    </xf>
    <xf numFmtId="3" fontId="41" fillId="0" borderId="7" xfId="8" applyNumberFormat="1" applyFont="1" applyBorder="1" applyAlignment="1">
      <alignment wrapText="1"/>
    </xf>
    <xf numFmtId="3" fontId="41" fillId="0" borderId="0" xfId="8" applyNumberFormat="1" applyFont="1" applyAlignment="1">
      <alignment horizontal="left"/>
    </xf>
    <xf numFmtId="3" fontId="45" fillId="0" borderId="0" xfId="8" applyNumberFormat="1" applyFont="1" applyFill="1" applyAlignment="1">
      <alignment wrapText="1"/>
    </xf>
    <xf numFmtId="3" fontId="41" fillId="0" borderId="0" xfId="8" applyNumberFormat="1" applyFont="1" applyAlignment="1">
      <alignment wrapText="1"/>
    </xf>
    <xf numFmtId="3" fontId="47" fillId="0" borderId="0" xfId="8" quotePrefix="1" applyNumberFormat="1" applyFont="1" applyAlignment="1">
      <alignment horizontal="left"/>
    </xf>
    <xf numFmtId="0" fontId="47" fillId="0" borderId="5" xfId="8" applyNumberFormat="1" applyFont="1" applyBorder="1" applyAlignment="1">
      <alignment horizontal="center"/>
    </xf>
    <xf numFmtId="0" fontId="48" fillId="0" borderId="5" xfId="8" applyNumberFormat="1" applyFont="1" applyFill="1" applyBorder="1" applyAlignment="1">
      <alignment horizontal="center" wrapText="1"/>
    </xf>
    <xf numFmtId="0" fontId="47" fillId="0" borderId="5" xfId="8" applyNumberFormat="1" applyFont="1" applyBorder="1" applyAlignment="1">
      <alignment horizontal="center" wrapText="1"/>
    </xf>
    <xf numFmtId="0" fontId="48" fillId="0" borderId="5" xfId="8" applyNumberFormat="1" applyFont="1" applyFill="1" applyBorder="1" applyAlignment="1">
      <alignment horizontal="center"/>
    </xf>
    <xf numFmtId="49" fontId="47" fillId="0" borderId="5" xfId="8" applyNumberFormat="1" applyFont="1" applyBorder="1" applyAlignment="1">
      <alignment horizontal="center"/>
    </xf>
    <xf numFmtId="0" fontId="47" fillId="0" borderId="2" xfId="8" applyNumberFormat="1" applyFont="1" applyBorder="1" applyAlignment="1">
      <alignment horizontal="center" vertical="center" wrapText="1"/>
    </xf>
    <xf numFmtId="3" fontId="48" fillId="0" borderId="2" xfId="8" applyNumberFormat="1" applyFont="1" applyFill="1" applyBorder="1" applyAlignment="1">
      <alignment horizontal="center" vertical="center" wrapText="1"/>
    </xf>
    <xf numFmtId="3" fontId="47" fillId="0" borderId="2" xfId="8" applyNumberFormat="1" applyFont="1" applyBorder="1" applyAlignment="1">
      <alignment horizontal="center" vertical="center" wrapText="1"/>
    </xf>
    <xf numFmtId="3" fontId="47" fillId="0" borderId="2" xfId="8" quotePrefix="1" applyNumberFormat="1" applyFont="1" applyBorder="1" applyAlignment="1">
      <alignment horizontal="center" wrapText="1"/>
    </xf>
    <xf numFmtId="0" fontId="47" fillId="0" borderId="0" xfId="8" applyNumberFormat="1" applyFont="1" applyBorder="1" applyAlignment="1">
      <alignment horizontal="center" vertical="center" wrapText="1"/>
    </xf>
    <xf numFmtId="3" fontId="48" fillId="0" borderId="0" xfId="8" applyNumberFormat="1" applyFont="1" applyFill="1" applyBorder="1" applyAlignment="1">
      <alignment horizontal="center" vertical="center" wrapText="1"/>
    </xf>
    <xf numFmtId="3" fontId="47" fillId="0" borderId="0" xfId="8" applyNumberFormat="1" applyFont="1" applyAlignment="1">
      <alignment vertical="center"/>
    </xf>
    <xf numFmtId="3" fontId="47" fillId="0" borderId="0" xfId="8" applyNumberFormat="1" applyFont="1"/>
    <xf numFmtId="0" fontId="47" fillId="0" borderId="0" xfId="8" applyNumberFormat="1" applyFont="1" applyAlignment="1">
      <alignment horizontal="center" vertical="center"/>
    </xf>
    <xf numFmtId="4" fontId="48" fillId="0" borderId="0" xfId="8" applyNumberFormat="1" applyFont="1" applyFill="1" applyAlignment="1">
      <alignment vertical="center"/>
    </xf>
    <xf numFmtId="0" fontId="41" fillId="0" borderId="8" xfId="8" applyNumberFormat="1" applyFont="1" applyBorder="1" applyAlignment="1">
      <alignment horizontal="center" vertical="center"/>
    </xf>
    <xf numFmtId="0" fontId="41" fillId="0" borderId="8" xfId="8" applyNumberFormat="1" applyFont="1" applyBorder="1" applyAlignment="1">
      <alignment vertical="center"/>
    </xf>
    <xf numFmtId="4" fontId="45" fillId="0" borderId="8" xfId="8" applyNumberFormat="1" applyFont="1" applyFill="1" applyBorder="1" applyAlignment="1">
      <alignment vertical="center"/>
    </xf>
    <xf numFmtId="4" fontId="41" fillId="0" borderId="0" xfId="8" applyNumberFormat="1" applyFont="1" applyAlignment="1">
      <alignment vertical="center"/>
    </xf>
    <xf numFmtId="0" fontId="41" fillId="0" borderId="8" xfId="8" applyNumberFormat="1" applyFont="1" applyBorder="1" applyAlignment="1">
      <alignment horizontal="left" vertical="center"/>
    </xf>
    <xf numFmtId="4" fontId="41" fillId="0" borderId="8" xfId="8" applyNumberFormat="1" applyFont="1" applyBorder="1" applyAlignment="1">
      <alignment vertical="center"/>
    </xf>
    <xf numFmtId="0" fontId="47" fillId="0" borderId="8" xfId="8" applyNumberFormat="1" applyFont="1" applyBorder="1" applyAlignment="1">
      <alignment horizontal="center" vertical="center"/>
    </xf>
    <xf numFmtId="0" fontId="47" fillId="0" borderId="8" xfId="8" applyNumberFormat="1" applyFont="1" applyBorder="1" applyAlignment="1">
      <alignment vertical="center"/>
    </xf>
    <xf numFmtId="4" fontId="48" fillId="0" borderId="8" xfId="8" applyNumberFormat="1" applyFont="1" applyFill="1" applyBorder="1" applyAlignment="1">
      <alignment vertical="center"/>
    </xf>
    <xf numFmtId="0" fontId="41" fillId="0" borderId="8" xfId="8" quotePrefix="1" applyNumberFormat="1" applyFont="1" applyBorder="1" applyAlignment="1">
      <alignment horizontal="left" vertical="center"/>
    </xf>
    <xf numFmtId="0" fontId="49" fillId="0" borderId="8" xfId="8" applyNumberFormat="1" applyFont="1" applyBorder="1" applyAlignment="1">
      <alignment horizontal="center" vertical="center"/>
    </xf>
    <xf numFmtId="0" fontId="49" fillId="0" borderId="8" xfId="8" applyNumberFormat="1" applyFont="1" applyBorder="1" applyAlignment="1">
      <alignment horizontal="left" vertical="center"/>
    </xf>
    <xf numFmtId="4" fontId="50" fillId="0" borderId="8" xfId="8" applyNumberFormat="1" applyFont="1" applyFill="1" applyBorder="1" applyAlignment="1">
      <alignment vertical="center"/>
    </xf>
    <xf numFmtId="3" fontId="51" fillId="0" borderId="0" xfId="8" applyNumberFormat="1" applyFont="1"/>
    <xf numFmtId="4" fontId="50" fillId="0" borderId="8" xfId="8" applyNumberFormat="1" applyFont="1" applyBorder="1" applyAlignment="1">
      <alignment vertical="center"/>
    </xf>
    <xf numFmtId="0" fontId="48" fillId="0" borderId="8" xfId="8" applyNumberFormat="1" applyFont="1" applyBorder="1" applyAlignment="1">
      <alignment horizontal="center" vertical="center"/>
    </xf>
    <xf numFmtId="0" fontId="48" fillId="0" borderId="8" xfId="8" applyNumberFormat="1" applyFont="1" applyBorder="1" applyAlignment="1">
      <alignment vertical="center"/>
    </xf>
    <xf numFmtId="0" fontId="52" fillId="0" borderId="8" xfId="8" applyNumberFormat="1" applyFont="1" applyBorder="1" applyAlignment="1">
      <alignment horizontal="center" vertical="center"/>
    </xf>
    <xf numFmtId="4" fontId="41" fillId="0" borderId="0" xfId="8" applyNumberFormat="1" applyFont="1" applyBorder="1" applyAlignment="1">
      <alignment vertical="center"/>
    </xf>
    <xf numFmtId="4" fontId="41" fillId="0" borderId="0" xfId="8" applyNumberFormat="1" applyFont="1"/>
    <xf numFmtId="0" fontId="53" fillId="0" borderId="0" xfId="8" applyNumberFormat="1" applyFont="1" applyAlignment="1">
      <alignment horizontal="center"/>
    </xf>
    <xf numFmtId="0" fontId="53" fillId="0" borderId="0" xfId="8" applyNumberFormat="1" applyFont="1"/>
    <xf numFmtId="3" fontId="53" fillId="0" borderId="0" xfId="8" applyNumberFormat="1" applyFont="1" applyAlignment="1">
      <alignment wrapText="1"/>
    </xf>
    <xf numFmtId="4" fontId="53" fillId="0" borderId="0" xfId="8" applyNumberFormat="1" applyFont="1"/>
    <xf numFmtId="3" fontId="53" fillId="0" borderId="0" xfId="8" applyNumberFormat="1" applyFont="1"/>
    <xf numFmtId="0" fontId="42" fillId="0" borderId="8" xfId="8" applyNumberFormat="1" applyFont="1" applyBorder="1" applyAlignment="1">
      <alignment horizontal="center" vertical="center"/>
    </xf>
    <xf numFmtId="0" fontId="42" fillId="0" borderId="8" xfId="8" applyNumberFormat="1" applyFont="1" applyBorder="1" applyAlignment="1">
      <alignment vertical="center"/>
    </xf>
    <xf numFmtId="4" fontId="52" fillId="0" borderId="8" xfId="8" applyNumberFormat="1" applyFont="1" applyFill="1" applyBorder="1" applyAlignment="1">
      <alignment vertical="center"/>
    </xf>
    <xf numFmtId="3" fontId="54" fillId="0" borderId="0" xfId="8" applyNumberFormat="1" applyFont="1" applyAlignment="1">
      <alignment vertical="center"/>
    </xf>
    <xf numFmtId="3" fontId="42" fillId="0" borderId="0" xfId="8" applyNumberFormat="1" applyFont="1"/>
    <xf numFmtId="0" fontId="54" fillId="0" borderId="8" xfId="8" applyNumberFormat="1" applyFont="1" applyBorder="1" applyAlignment="1">
      <alignment horizontal="center" vertical="center"/>
    </xf>
    <xf numFmtId="0" fontId="42" fillId="0" borderId="8" xfId="8" applyNumberFormat="1" applyFont="1" applyBorder="1" applyAlignment="1">
      <alignment horizontal="left" vertical="center"/>
    </xf>
    <xf numFmtId="4" fontId="55" fillId="0" borderId="3" xfId="0" applyNumberFormat="1" applyFont="1" applyFill="1" applyBorder="1" applyAlignment="1">
      <alignment horizontal="right"/>
    </xf>
    <xf numFmtId="4" fontId="5" fillId="2" borderId="3" xfId="0" applyNumberFormat="1" applyFont="1" applyFill="1" applyBorder="1" applyAlignment="1">
      <alignment horizontal="right"/>
    </xf>
    <xf numFmtId="4" fontId="55" fillId="2" borderId="3" xfId="0" applyNumberFormat="1" applyFont="1" applyFill="1" applyBorder="1" applyAlignment="1">
      <alignment horizontal="right"/>
    </xf>
    <xf numFmtId="0" fontId="56" fillId="0" borderId="0" xfId="0" applyFont="1"/>
    <xf numFmtId="4" fontId="57" fillId="2" borderId="3" xfId="0" applyNumberFormat="1" applyFont="1" applyFill="1" applyBorder="1" applyAlignment="1">
      <alignment horizontal="right"/>
    </xf>
    <xf numFmtId="4" fontId="32" fillId="2" borderId="3" xfId="0" applyNumberFormat="1" applyFont="1" applyFill="1" applyBorder="1" applyAlignment="1">
      <alignment horizontal="right"/>
    </xf>
    <xf numFmtId="4" fontId="0" fillId="0" borderId="0" xfId="0" applyNumberFormat="1"/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31" fillId="2" borderId="0" xfId="2" applyFont="1" applyFill="1" applyAlignment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3" fillId="4" borderId="2" xfId="0" applyNumberFormat="1" applyFont="1" applyFill="1" applyBorder="1" applyAlignment="1" applyProtection="1">
      <alignment horizontal="center" vertical="center" wrapText="1"/>
    </xf>
    <xf numFmtId="0" fontId="3" fillId="4" borderId="4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vertical="center" wrapText="1"/>
    </xf>
    <xf numFmtId="0" fontId="34" fillId="4" borderId="1" xfId="0" applyNumberFormat="1" applyFont="1" applyFill="1" applyBorder="1" applyAlignment="1" applyProtection="1">
      <alignment horizontal="center" vertical="center" wrapText="1"/>
    </xf>
    <xf numFmtId="0" fontId="34" fillId="4" borderId="2" xfId="0" applyNumberFormat="1" applyFont="1" applyFill="1" applyBorder="1" applyAlignment="1" applyProtection="1">
      <alignment horizontal="center" vertical="center" wrapText="1"/>
    </xf>
    <xf numFmtId="0" fontId="34" fillId="4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21" fillId="2" borderId="1" xfId="0" applyNumberFormat="1" applyFont="1" applyFill="1" applyBorder="1" applyAlignment="1" applyProtection="1">
      <alignment horizontal="left" vertical="center" wrapText="1"/>
    </xf>
    <xf numFmtId="0" fontId="21" fillId="2" borderId="2" xfId="0" applyNumberFormat="1" applyFont="1" applyFill="1" applyBorder="1" applyAlignment="1" applyProtection="1">
      <alignment horizontal="left" vertical="center" wrapText="1"/>
    </xf>
    <xf numFmtId="0" fontId="21" fillId="2" borderId="4" xfId="0" applyNumberFormat="1" applyFont="1" applyFill="1" applyBorder="1" applyAlignment="1" applyProtection="1">
      <alignment horizontal="left" vertical="center" wrapText="1"/>
    </xf>
    <xf numFmtId="0" fontId="6" fillId="9" borderId="1" xfId="0" applyNumberFormat="1" applyFont="1" applyFill="1" applyBorder="1" applyAlignment="1" applyProtection="1">
      <alignment horizontal="left" vertical="center" wrapText="1"/>
    </xf>
    <xf numFmtId="0" fontId="6" fillId="9" borderId="2" xfId="0" applyNumberFormat="1" applyFont="1" applyFill="1" applyBorder="1" applyAlignment="1" applyProtection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0" fontId="6" fillId="6" borderId="1" xfId="0" applyNumberFormat="1" applyFont="1" applyFill="1" applyBorder="1" applyAlignment="1" applyProtection="1">
      <alignment horizontal="left" vertical="center" wrapText="1"/>
    </xf>
    <xf numFmtId="0" fontId="6" fillId="6" borderId="2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42" fillId="0" borderId="0" xfId="8" applyNumberFormat="1" applyFont="1" applyAlignment="1">
      <alignment horizontal="center"/>
    </xf>
    <xf numFmtId="0" fontId="43" fillId="0" borderId="0" xfId="8" applyNumberFormat="1" applyFont="1" applyAlignment="1">
      <alignment horizontal="center" wrapText="1"/>
    </xf>
    <xf numFmtId="0" fontId="44" fillId="0" borderId="0" xfId="8" applyFont="1" applyAlignment="1">
      <alignment horizontal="center" wrapText="1"/>
    </xf>
    <xf numFmtId="0" fontId="42" fillId="0" borderId="0" xfId="8" applyFont="1" applyAlignment="1">
      <alignment horizontal="center" wrapText="1"/>
    </xf>
  </cellXfs>
  <cellStyles count="9">
    <cellStyle name="Normal" xfId="0" builtinId="0"/>
    <cellStyle name="Normal 2" xfId="8"/>
    <cellStyle name="Normalno 2" xfId="2"/>
    <cellStyle name="Normalno 2 2" xfId="3"/>
    <cellStyle name="Normalno 3" xfId="4"/>
    <cellStyle name="Normalno 3 2" xfId="1"/>
    <cellStyle name="Normalno 3 3" xfId="5"/>
    <cellStyle name="Normalno 4" xfId="6"/>
    <cellStyle name="Obično_List10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zoomScale="140" zoomScaleNormal="140" workbookViewId="0">
      <selection activeCell="I16" sqref="I16"/>
    </sheetView>
  </sheetViews>
  <sheetFormatPr defaultRowHeight="15" x14ac:dyDescent="0.25"/>
  <cols>
    <col min="5" max="5" width="25.28515625" customWidth="1"/>
    <col min="6" max="6" width="13.28515625" customWidth="1"/>
    <col min="7" max="7" width="23" customWidth="1"/>
    <col min="8" max="8" width="25.28515625" customWidth="1"/>
  </cols>
  <sheetData>
    <row r="1" spans="1:10" ht="42" customHeight="1" x14ac:dyDescent="0.25">
      <c r="A1" s="236" t="s">
        <v>138</v>
      </c>
      <c r="B1" s="236"/>
      <c r="C1" s="236"/>
      <c r="D1" s="236"/>
      <c r="E1" s="236"/>
      <c r="F1" s="236"/>
      <c r="G1" s="236"/>
      <c r="H1" s="236"/>
      <c r="I1" s="103"/>
      <c r="J1" s="103"/>
    </row>
    <row r="2" spans="1:10" ht="18" customHeight="1" x14ac:dyDescent="0.25">
      <c r="A2" s="5"/>
      <c r="B2" s="5"/>
      <c r="C2" s="5"/>
      <c r="D2" s="5"/>
      <c r="E2" s="5"/>
      <c r="F2" s="24"/>
      <c r="G2" s="5"/>
      <c r="H2" s="5"/>
    </row>
    <row r="3" spans="1:10" ht="15.75" x14ac:dyDescent="0.25">
      <c r="A3" s="218" t="s">
        <v>26</v>
      </c>
      <c r="B3" s="218"/>
      <c r="C3" s="218"/>
      <c r="D3" s="218"/>
      <c r="E3" s="218"/>
      <c r="F3" s="218"/>
      <c r="G3" s="218"/>
      <c r="H3" s="232"/>
    </row>
    <row r="4" spans="1:10" ht="18" x14ac:dyDescent="0.25">
      <c r="A4" s="5"/>
      <c r="B4" s="5"/>
      <c r="C4" s="5"/>
      <c r="D4" s="5"/>
      <c r="E4" s="5"/>
      <c r="F4" s="24"/>
      <c r="G4" s="5"/>
      <c r="H4" s="6"/>
    </row>
    <row r="5" spans="1:10" ht="18" customHeight="1" x14ac:dyDescent="0.25">
      <c r="A5" s="218" t="s">
        <v>30</v>
      </c>
      <c r="B5" s="219"/>
      <c r="C5" s="219"/>
      <c r="D5" s="219"/>
      <c r="E5" s="219"/>
      <c r="F5" s="219"/>
      <c r="G5" s="219"/>
      <c r="H5" s="219"/>
    </row>
    <row r="6" spans="1:10" ht="18" x14ac:dyDescent="0.25">
      <c r="A6" s="1"/>
      <c r="B6" s="2"/>
      <c r="C6" s="2"/>
      <c r="D6" s="2"/>
      <c r="E6" s="7"/>
      <c r="F6" s="7"/>
      <c r="G6" s="8"/>
      <c r="H6" s="33" t="s">
        <v>125</v>
      </c>
    </row>
    <row r="7" spans="1:10" ht="39" x14ac:dyDescent="0.25">
      <c r="A7" s="27"/>
      <c r="B7" s="28"/>
      <c r="C7" s="28"/>
      <c r="D7" s="29"/>
      <c r="E7" s="30"/>
      <c r="F7" s="104" t="s">
        <v>139</v>
      </c>
      <c r="G7" s="4" t="s">
        <v>140</v>
      </c>
      <c r="H7" s="4" t="s">
        <v>141</v>
      </c>
    </row>
    <row r="8" spans="1:10" x14ac:dyDescent="0.25">
      <c r="A8" s="233" t="s">
        <v>0</v>
      </c>
      <c r="B8" s="229"/>
      <c r="C8" s="229"/>
      <c r="D8" s="229"/>
      <c r="E8" s="234"/>
      <c r="F8" s="83">
        <f>F9+F10</f>
        <v>0</v>
      </c>
      <c r="G8" s="83">
        <f>G9+G10</f>
        <v>3331446.68</v>
      </c>
      <c r="H8" s="83">
        <f t="shared" ref="H8" si="0">H9+H10</f>
        <v>1553106.31</v>
      </c>
    </row>
    <row r="9" spans="1:10" x14ac:dyDescent="0.25">
      <c r="A9" s="226" t="s">
        <v>1</v>
      </c>
      <c r="B9" s="221"/>
      <c r="C9" s="221"/>
      <c r="D9" s="221"/>
      <c r="E9" s="231"/>
      <c r="F9" s="105"/>
      <c r="G9" s="84">
        <v>3331446.68</v>
      </c>
      <c r="H9" s="84">
        <v>1553106.31</v>
      </c>
    </row>
    <row r="10" spans="1:10" x14ac:dyDescent="0.25">
      <c r="A10" s="235" t="s">
        <v>2</v>
      </c>
      <c r="B10" s="231"/>
      <c r="C10" s="231"/>
      <c r="D10" s="231"/>
      <c r="E10" s="231"/>
      <c r="F10" s="105"/>
      <c r="G10" s="84"/>
      <c r="H10" s="84"/>
    </row>
    <row r="11" spans="1:10" x14ac:dyDescent="0.25">
      <c r="A11" s="34" t="s">
        <v>3</v>
      </c>
      <c r="B11" s="35"/>
      <c r="C11" s="35"/>
      <c r="D11" s="35"/>
      <c r="E11" s="35"/>
      <c r="F11" s="83">
        <f>F12+F13</f>
        <v>0</v>
      </c>
      <c r="G11" s="83">
        <f>G12+G13</f>
        <v>3359254.35</v>
      </c>
      <c r="H11" s="83">
        <f t="shared" ref="H11" si="1">H12+H13</f>
        <v>1571771.76</v>
      </c>
    </row>
    <row r="12" spans="1:10" x14ac:dyDescent="0.25">
      <c r="A12" s="220" t="s">
        <v>4</v>
      </c>
      <c r="B12" s="221"/>
      <c r="C12" s="221"/>
      <c r="D12" s="221"/>
      <c r="E12" s="221"/>
      <c r="F12" s="52"/>
      <c r="G12" s="84">
        <v>3274560.58</v>
      </c>
      <c r="H12" s="84">
        <v>1563002.47</v>
      </c>
    </row>
    <row r="13" spans="1:10" x14ac:dyDescent="0.25">
      <c r="A13" s="230" t="s">
        <v>5</v>
      </c>
      <c r="B13" s="231"/>
      <c r="C13" s="231"/>
      <c r="D13" s="231"/>
      <c r="E13" s="231"/>
      <c r="F13" s="105"/>
      <c r="G13" s="85">
        <v>84693.77</v>
      </c>
      <c r="H13" s="85">
        <v>8769.2900000000009</v>
      </c>
    </row>
    <row r="14" spans="1:10" x14ac:dyDescent="0.25">
      <c r="A14" s="228" t="s">
        <v>6</v>
      </c>
      <c r="B14" s="229"/>
      <c r="C14" s="229"/>
      <c r="D14" s="229"/>
      <c r="E14" s="229"/>
      <c r="F14" s="86">
        <f>F8-F11</f>
        <v>0</v>
      </c>
      <c r="G14" s="86">
        <f>G8-G11</f>
        <v>-27807.669999999925</v>
      </c>
      <c r="H14" s="86">
        <f t="shared" ref="H14" si="2">H8-H11</f>
        <v>-18665.449999999953</v>
      </c>
    </row>
    <row r="15" spans="1:10" ht="18" x14ac:dyDescent="0.25">
      <c r="A15" s="5"/>
      <c r="B15" s="9"/>
      <c r="C15" s="9"/>
      <c r="D15" s="9"/>
      <c r="E15" s="9"/>
      <c r="F15" s="22"/>
      <c r="G15" s="3"/>
      <c r="H15" s="3"/>
    </row>
    <row r="16" spans="1:10" ht="18" customHeight="1" x14ac:dyDescent="0.25">
      <c r="A16" s="218" t="s">
        <v>31</v>
      </c>
      <c r="B16" s="219"/>
      <c r="C16" s="219"/>
      <c r="D16" s="219"/>
      <c r="E16" s="219"/>
      <c r="F16" s="219"/>
      <c r="G16" s="219"/>
      <c r="H16" s="219"/>
    </row>
    <row r="17" spans="1:8" ht="18" x14ac:dyDescent="0.25">
      <c r="A17" s="24"/>
      <c r="B17" s="22"/>
      <c r="C17" s="22"/>
      <c r="D17" s="22"/>
      <c r="E17" s="22"/>
      <c r="F17" s="22"/>
      <c r="G17" s="23"/>
      <c r="H17" s="23"/>
    </row>
    <row r="18" spans="1:8" ht="39" x14ac:dyDescent="0.25">
      <c r="A18" s="27"/>
      <c r="B18" s="28"/>
      <c r="C18" s="28"/>
      <c r="D18" s="29"/>
      <c r="E18" s="30"/>
      <c r="F18" s="104" t="s">
        <v>139</v>
      </c>
      <c r="G18" s="4" t="s">
        <v>140</v>
      </c>
      <c r="H18" s="4" t="s">
        <v>141</v>
      </c>
    </row>
    <row r="19" spans="1:8" ht="15.75" customHeight="1" x14ac:dyDescent="0.25">
      <c r="A19" s="226" t="s">
        <v>8</v>
      </c>
      <c r="B19" s="227"/>
      <c r="C19" s="227"/>
      <c r="D19" s="227"/>
      <c r="E19" s="227"/>
      <c r="F19" s="107"/>
      <c r="G19" s="32"/>
      <c r="H19" s="32"/>
    </row>
    <row r="20" spans="1:8" x14ac:dyDescent="0.25">
      <c r="A20" s="226" t="s">
        <v>9</v>
      </c>
      <c r="B20" s="221"/>
      <c r="C20" s="221"/>
      <c r="D20" s="221"/>
      <c r="E20" s="221"/>
      <c r="F20" s="52"/>
      <c r="G20" s="32"/>
      <c r="H20" s="32"/>
    </row>
    <row r="21" spans="1:8" x14ac:dyDescent="0.25">
      <c r="A21" s="228" t="s">
        <v>10</v>
      </c>
      <c r="B21" s="229"/>
      <c r="C21" s="229"/>
      <c r="D21" s="229"/>
      <c r="E21" s="229"/>
      <c r="F21" s="106"/>
      <c r="G21" s="31">
        <v>0</v>
      </c>
      <c r="H21" s="31">
        <v>0</v>
      </c>
    </row>
    <row r="22" spans="1:8" ht="18" x14ac:dyDescent="0.25">
      <c r="A22" s="21"/>
      <c r="B22" s="22"/>
      <c r="C22" s="22"/>
      <c r="D22" s="22"/>
      <c r="E22" s="22"/>
      <c r="F22" s="22"/>
      <c r="G22" s="23"/>
      <c r="H22" s="23"/>
    </row>
    <row r="23" spans="1:8" ht="18" customHeight="1" x14ac:dyDescent="0.25">
      <c r="A23" s="218" t="s">
        <v>38</v>
      </c>
      <c r="B23" s="219"/>
      <c r="C23" s="219"/>
      <c r="D23" s="219"/>
      <c r="E23" s="219"/>
      <c r="F23" s="219"/>
      <c r="G23" s="219"/>
      <c r="H23" s="219"/>
    </row>
    <row r="24" spans="1:8" ht="18" x14ac:dyDescent="0.25">
      <c r="A24" s="21"/>
      <c r="B24" s="22"/>
      <c r="C24" s="22"/>
      <c r="D24" s="22"/>
      <c r="E24" s="22"/>
      <c r="F24" s="22"/>
      <c r="G24" s="23"/>
      <c r="H24" s="23"/>
    </row>
    <row r="25" spans="1:8" ht="39" x14ac:dyDescent="0.25">
      <c r="A25" s="27"/>
      <c r="B25" s="28"/>
      <c r="C25" s="28"/>
      <c r="D25" s="29"/>
      <c r="E25" s="30"/>
      <c r="F25" s="104" t="s">
        <v>139</v>
      </c>
      <c r="G25" s="4" t="s">
        <v>140</v>
      </c>
      <c r="H25" s="4" t="s">
        <v>141</v>
      </c>
    </row>
    <row r="26" spans="1:8" x14ac:dyDescent="0.25">
      <c r="A26" s="222" t="s">
        <v>32</v>
      </c>
      <c r="B26" s="223"/>
      <c r="C26" s="223"/>
      <c r="D26" s="223"/>
      <c r="E26" s="223"/>
      <c r="F26" s="108"/>
      <c r="G26" s="88">
        <v>27807.67</v>
      </c>
      <c r="H26" s="88">
        <v>16994.47</v>
      </c>
    </row>
    <row r="27" spans="1:8" ht="30" customHeight="1" x14ac:dyDescent="0.25">
      <c r="A27" s="224" t="s">
        <v>7</v>
      </c>
      <c r="B27" s="225"/>
      <c r="C27" s="225"/>
      <c r="D27" s="225"/>
      <c r="E27" s="225"/>
      <c r="F27" s="109"/>
      <c r="G27" s="87">
        <v>27807.67</v>
      </c>
      <c r="H27" s="87">
        <v>16994.47</v>
      </c>
    </row>
    <row r="30" spans="1:8" x14ac:dyDescent="0.25">
      <c r="A30" s="220" t="s">
        <v>11</v>
      </c>
      <c r="B30" s="221"/>
      <c r="C30" s="221"/>
      <c r="D30" s="221"/>
      <c r="E30" s="221"/>
      <c r="F30" s="85">
        <f>F14+F27</f>
        <v>0</v>
      </c>
      <c r="G30" s="85">
        <f>G14+G27</f>
        <v>7.2759576141834259E-11</v>
      </c>
      <c r="H30" s="85">
        <f t="shared" ref="H30" si="3">H14+H27</f>
        <v>-1670.9799999999523</v>
      </c>
    </row>
    <row r="31" spans="1:8" ht="11.25" customHeight="1" x14ac:dyDescent="0.25">
      <c r="A31" s="16"/>
      <c r="B31" s="17"/>
      <c r="C31" s="17"/>
      <c r="D31" s="17"/>
      <c r="E31" s="17"/>
      <c r="F31" s="17"/>
      <c r="G31" s="18"/>
      <c r="H31" s="18"/>
    </row>
    <row r="32" spans="1:8" ht="24.95" customHeight="1" x14ac:dyDescent="0.25">
      <c r="A32" s="216" t="s">
        <v>39</v>
      </c>
      <c r="B32" s="217"/>
      <c r="C32" s="217"/>
      <c r="D32" s="217"/>
      <c r="E32" s="217"/>
      <c r="F32" s="217"/>
      <c r="G32" s="217"/>
      <c r="H32" s="217"/>
    </row>
    <row r="33" spans="1:8" ht="24.95" customHeight="1" x14ac:dyDescent="0.25"/>
    <row r="34" spans="1:8" ht="24.95" customHeight="1" x14ac:dyDescent="0.25">
      <c r="A34" s="216" t="s">
        <v>33</v>
      </c>
      <c r="B34" s="217"/>
      <c r="C34" s="217"/>
      <c r="D34" s="217"/>
      <c r="E34" s="217"/>
      <c r="F34" s="217"/>
      <c r="G34" s="217"/>
      <c r="H34" s="217"/>
    </row>
    <row r="35" spans="1:8" ht="24.95" customHeight="1" x14ac:dyDescent="0.25"/>
    <row r="36" spans="1:8" ht="24.95" customHeight="1" x14ac:dyDescent="0.25">
      <c r="A36" s="216" t="s">
        <v>34</v>
      </c>
      <c r="B36" s="217"/>
      <c r="C36" s="217"/>
      <c r="D36" s="217"/>
      <c r="E36" s="217"/>
      <c r="F36" s="217"/>
      <c r="G36" s="217"/>
      <c r="H36" s="217"/>
    </row>
  </sheetData>
  <mergeCells count="20">
    <mergeCell ref="A1:H1"/>
    <mergeCell ref="A12:E12"/>
    <mergeCell ref="A5:H5"/>
    <mergeCell ref="A16:H16"/>
    <mergeCell ref="A3:H3"/>
    <mergeCell ref="A8:E8"/>
    <mergeCell ref="A9:E9"/>
    <mergeCell ref="A10:E10"/>
    <mergeCell ref="A19:E19"/>
    <mergeCell ref="A20:E20"/>
    <mergeCell ref="A21:E21"/>
    <mergeCell ref="A13:E13"/>
    <mergeCell ref="A14:E14"/>
    <mergeCell ref="A36:H36"/>
    <mergeCell ref="A23:H23"/>
    <mergeCell ref="A32:H32"/>
    <mergeCell ref="A30:E30"/>
    <mergeCell ref="A34:H34"/>
    <mergeCell ref="A26:E26"/>
    <mergeCell ref="A27:E27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2"/>
  <sheetViews>
    <sheetView zoomScale="150" zoomScaleNormal="150" workbookViewId="0">
      <selection activeCell="D99" sqref="D9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7.7109375" bestFit="1" customWidth="1"/>
    <col min="4" max="4" width="34.140625" customWidth="1"/>
    <col min="5" max="5" width="12.28515625" customWidth="1"/>
    <col min="6" max="6" width="23.28515625" customWidth="1"/>
    <col min="7" max="7" width="21.28515625" customWidth="1"/>
    <col min="8" max="8" width="12.7109375" style="149" customWidth="1"/>
  </cols>
  <sheetData>
    <row r="1" spans="1:11" ht="42" customHeight="1" x14ac:dyDescent="0.25">
      <c r="A1" s="236" t="s">
        <v>138</v>
      </c>
      <c r="B1" s="236"/>
      <c r="C1" s="236"/>
      <c r="D1" s="236"/>
      <c r="E1" s="236"/>
      <c r="F1" s="236"/>
      <c r="G1" s="236"/>
      <c r="H1" s="236"/>
      <c r="I1" s="103"/>
      <c r="J1" s="103"/>
      <c r="K1" s="103"/>
    </row>
    <row r="2" spans="1:11" ht="18" customHeight="1" x14ac:dyDescent="0.25">
      <c r="A2" s="5"/>
      <c r="B2" s="5"/>
      <c r="C2" s="5"/>
      <c r="D2" s="5"/>
      <c r="E2" s="24"/>
      <c r="F2" s="5"/>
      <c r="G2" s="5"/>
      <c r="H2" s="24"/>
    </row>
    <row r="3" spans="1:11" ht="15.75" x14ac:dyDescent="0.25">
      <c r="A3" s="218" t="s">
        <v>26</v>
      </c>
      <c r="B3" s="218"/>
      <c r="C3" s="218"/>
      <c r="D3" s="218"/>
      <c r="E3" s="218"/>
      <c r="F3" s="218"/>
      <c r="G3" s="232"/>
      <c r="H3" s="232"/>
    </row>
    <row r="4" spans="1:11" ht="18" x14ac:dyDescent="0.25">
      <c r="A4" s="5"/>
      <c r="B4" s="5"/>
      <c r="C4" s="5"/>
      <c r="D4" s="5"/>
      <c r="E4" s="24"/>
      <c r="F4" s="5"/>
      <c r="G4" s="6"/>
      <c r="H4" s="135"/>
    </row>
    <row r="5" spans="1:11" ht="18" customHeight="1" x14ac:dyDescent="0.25">
      <c r="A5" s="218" t="s">
        <v>12</v>
      </c>
      <c r="B5" s="219"/>
      <c r="C5" s="219"/>
      <c r="D5" s="219"/>
      <c r="E5" s="219"/>
      <c r="F5" s="219"/>
      <c r="G5" s="219"/>
      <c r="H5" s="219"/>
    </row>
    <row r="6" spans="1:11" ht="18" x14ac:dyDescent="0.25">
      <c r="A6" s="5"/>
      <c r="B6" s="5"/>
      <c r="C6" s="5"/>
      <c r="D6" s="5"/>
      <c r="E6" s="24"/>
      <c r="F6" s="5"/>
      <c r="G6" s="6"/>
      <c r="H6" s="135"/>
    </row>
    <row r="7" spans="1:11" ht="15.75" x14ac:dyDescent="0.25">
      <c r="A7" s="218" t="s">
        <v>1</v>
      </c>
      <c r="B7" s="240"/>
      <c r="C7" s="240"/>
      <c r="D7" s="240"/>
      <c r="E7" s="240"/>
      <c r="F7" s="240"/>
      <c r="G7" s="240"/>
      <c r="H7" s="240"/>
    </row>
    <row r="8" spans="1:11" ht="18" x14ac:dyDescent="0.25">
      <c r="A8" s="5"/>
      <c r="B8" s="5"/>
      <c r="C8" s="5"/>
      <c r="D8" s="5"/>
      <c r="E8" s="24"/>
      <c r="F8" s="63">
        <f>F11+F51</f>
        <v>3359254.35</v>
      </c>
      <c r="G8" s="63"/>
      <c r="H8" s="63"/>
      <c r="I8" s="50"/>
    </row>
    <row r="9" spans="1:11" ht="51" x14ac:dyDescent="0.25">
      <c r="A9" s="20" t="s">
        <v>13</v>
      </c>
      <c r="B9" s="19" t="s">
        <v>152</v>
      </c>
      <c r="C9" s="19" t="s">
        <v>15</v>
      </c>
      <c r="D9" s="19" t="s">
        <v>144</v>
      </c>
      <c r="E9" s="19" t="s">
        <v>139</v>
      </c>
      <c r="F9" s="20" t="s">
        <v>140</v>
      </c>
      <c r="G9" s="20" t="s">
        <v>141</v>
      </c>
      <c r="H9" s="20" t="s">
        <v>142</v>
      </c>
    </row>
    <row r="10" spans="1:11" x14ac:dyDescent="0.25">
      <c r="A10" s="237">
        <v>1</v>
      </c>
      <c r="B10" s="238"/>
      <c r="C10" s="238"/>
      <c r="D10" s="239"/>
      <c r="E10" s="110">
        <v>2</v>
      </c>
      <c r="F10" s="111">
        <v>3</v>
      </c>
      <c r="G10" s="111">
        <v>4</v>
      </c>
      <c r="H10" s="111" t="s">
        <v>143</v>
      </c>
    </row>
    <row r="11" spans="1:11" ht="15.75" customHeight="1" x14ac:dyDescent="0.25">
      <c r="A11" s="51">
        <v>6</v>
      </c>
      <c r="B11" s="51"/>
      <c r="C11" s="51"/>
      <c r="D11" s="51" t="s">
        <v>16</v>
      </c>
      <c r="E11" s="51"/>
      <c r="F11" s="70">
        <f>F12+F22+F26+F30+F39+F43</f>
        <v>3331446.68</v>
      </c>
      <c r="G11" s="70">
        <f>G12+G22+G26+G30+G39+G43</f>
        <v>1553106.3099999998</v>
      </c>
      <c r="H11" s="136"/>
    </row>
    <row r="12" spans="1:11" ht="25.5" x14ac:dyDescent="0.25">
      <c r="A12" s="38"/>
      <c r="B12" s="39">
        <v>63</v>
      </c>
      <c r="C12" s="39"/>
      <c r="D12" s="39" t="s">
        <v>35</v>
      </c>
      <c r="E12" s="39"/>
      <c r="F12" s="59">
        <f>SUM(F13:F19)</f>
        <v>2794584.28</v>
      </c>
      <c r="G12" s="59">
        <f>G13+G19</f>
        <v>1336354.3099999998</v>
      </c>
      <c r="H12" s="137">
        <f>(G12/F12)*100</f>
        <v>47.819431303750122</v>
      </c>
    </row>
    <row r="13" spans="1:11" s="120" customFormat="1" x14ac:dyDescent="0.25">
      <c r="A13" s="118"/>
      <c r="B13" s="118"/>
      <c r="C13" s="118">
        <v>57</v>
      </c>
      <c r="D13" s="118" t="s">
        <v>51</v>
      </c>
      <c r="E13" s="118"/>
      <c r="F13" s="119">
        <f>2359827.86+315252.56+14599.51+4681.54+13243.58</f>
        <v>2707605.05</v>
      </c>
      <c r="G13" s="119">
        <f>G14+G17</f>
        <v>1295436.3999999999</v>
      </c>
      <c r="H13" s="138">
        <f>(G13/F13)*100</f>
        <v>47.844363416296623</v>
      </c>
    </row>
    <row r="14" spans="1:11" ht="22.5" x14ac:dyDescent="0.25">
      <c r="A14" s="12"/>
      <c r="B14" s="25">
        <v>636</v>
      </c>
      <c r="C14" s="13"/>
      <c r="D14" s="131" t="s">
        <v>147</v>
      </c>
      <c r="E14" s="13"/>
      <c r="F14" s="56"/>
      <c r="G14" s="124">
        <f>G15+G16</f>
        <v>1288907.76</v>
      </c>
      <c r="H14" s="139"/>
    </row>
    <row r="15" spans="1:11" ht="22.5" x14ac:dyDescent="0.25">
      <c r="A15" s="12"/>
      <c r="B15" s="12">
        <v>6361</v>
      </c>
      <c r="C15" s="13"/>
      <c r="D15" s="131" t="s">
        <v>148</v>
      </c>
      <c r="E15" s="13"/>
      <c r="F15" s="56"/>
      <c r="G15" s="56">
        <f>1288497+339.47</f>
        <v>1288836.47</v>
      </c>
      <c r="H15" s="139"/>
    </row>
    <row r="16" spans="1:11" ht="22.5" x14ac:dyDescent="0.25">
      <c r="A16" s="12"/>
      <c r="B16" s="12">
        <v>6362</v>
      </c>
      <c r="C16" s="13"/>
      <c r="D16" s="131" t="s">
        <v>149</v>
      </c>
      <c r="E16" s="13"/>
      <c r="F16" s="56"/>
      <c r="G16" s="56">
        <v>71.290000000000006</v>
      </c>
      <c r="H16" s="139"/>
    </row>
    <row r="17" spans="1:8" ht="22.5" x14ac:dyDescent="0.25">
      <c r="A17" s="12"/>
      <c r="B17" s="25">
        <v>639</v>
      </c>
      <c r="C17" s="13"/>
      <c r="D17" s="131" t="s">
        <v>150</v>
      </c>
      <c r="E17" s="13"/>
      <c r="F17" s="56"/>
      <c r="G17" s="124">
        <f>G18</f>
        <v>6528.64</v>
      </c>
      <c r="H17" s="139"/>
    </row>
    <row r="18" spans="1:8" ht="22.5" x14ac:dyDescent="0.25">
      <c r="A18" s="12"/>
      <c r="B18" s="12">
        <v>6391</v>
      </c>
      <c r="C18" s="13"/>
      <c r="D18" s="131" t="s">
        <v>151</v>
      </c>
      <c r="E18" s="13"/>
      <c r="F18" s="56"/>
      <c r="G18" s="56">
        <f>5858.43+670.21</f>
        <v>6528.64</v>
      </c>
      <c r="H18" s="139"/>
    </row>
    <row r="19" spans="1:8" s="120" customFormat="1" x14ac:dyDescent="0.25">
      <c r="A19" s="118"/>
      <c r="B19" s="118"/>
      <c r="C19" s="118">
        <v>5402</v>
      </c>
      <c r="D19" s="118" t="s">
        <v>56</v>
      </c>
      <c r="E19" s="118"/>
      <c r="F19" s="119">
        <f>24725.62+62253.61</f>
        <v>86979.23</v>
      </c>
      <c r="G19" s="119">
        <f>G20</f>
        <v>40917.909999999996</v>
      </c>
      <c r="H19" s="138">
        <f>(G19/F19)*100</f>
        <v>47.043311374451122</v>
      </c>
    </row>
    <row r="20" spans="1:8" s="115" customFormat="1" ht="22.5" x14ac:dyDescent="0.25">
      <c r="A20" s="12"/>
      <c r="B20" s="25">
        <v>639</v>
      </c>
      <c r="C20" s="12"/>
      <c r="D20" s="131" t="s">
        <v>150</v>
      </c>
      <c r="E20" s="12"/>
      <c r="F20" s="56"/>
      <c r="G20" s="124">
        <f>G21</f>
        <v>40917.909999999996</v>
      </c>
      <c r="H20" s="139"/>
    </row>
    <row r="21" spans="1:8" s="115" customFormat="1" ht="33.75" x14ac:dyDescent="0.25">
      <c r="A21" s="12"/>
      <c r="B21" s="12">
        <v>6393</v>
      </c>
      <c r="C21" s="12"/>
      <c r="D21" s="131" t="s">
        <v>153</v>
      </c>
      <c r="E21" s="12"/>
      <c r="F21" s="56"/>
      <c r="G21" s="56">
        <f>33197.79+3797.88+3922.24</f>
        <v>40917.909999999996</v>
      </c>
      <c r="H21" s="139"/>
    </row>
    <row r="22" spans="1:8" x14ac:dyDescent="0.25">
      <c r="A22" s="40"/>
      <c r="B22" s="40">
        <v>64</v>
      </c>
      <c r="C22" s="41"/>
      <c r="D22" s="40" t="s">
        <v>40</v>
      </c>
      <c r="E22" s="40"/>
      <c r="F22" s="59">
        <f>F23</f>
        <v>92.9</v>
      </c>
      <c r="G22" s="59">
        <f t="shared" ref="G22" si="0">G23</f>
        <v>0.01</v>
      </c>
      <c r="H22" s="137">
        <f>(G22/F22)*100</f>
        <v>1.076426264800861E-2</v>
      </c>
    </row>
    <row r="23" spans="1:8" s="120" customFormat="1" x14ac:dyDescent="0.25">
      <c r="A23" s="118"/>
      <c r="B23" s="118"/>
      <c r="C23" s="118">
        <v>31</v>
      </c>
      <c r="D23" s="118" t="s">
        <v>52</v>
      </c>
      <c r="E23" s="118"/>
      <c r="F23" s="119">
        <f>26.54+66.36</f>
        <v>92.9</v>
      </c>
      <c r="G23" s="119">
        <f>G24</f>
        <v>0.01</v>
      </c>
      <c r="H23" s="138">
        <f>(G23/F23)*100</f>
        <v>1.076426264800861E-2</v>
      </c>
    </row>
    <row r="24" spans="1:8" x14ac:dyDescent="0.25">
      <c r="A24" s="12"/>
      <c r="B24" s="25">
        <v>641</v>
      </c>
      <c r="C24" s="13"/>
      <c r="D24" s="132" t="s">
        <v>154</v>
      </c>
      <c r="E24" s="13"/>
      <c r="F24" s="56"/>
      <c r="G24" s="124">
        <f>G25</f>
        <v>0.01</v>
      </c>
      <c r="H24" s="139"/>
    </row>
    <row r="25" spans="1:8" ht="22.5" x14ac:dyDescent="0.25">
      <c r="A25" s="12"/>
      <c r="B25" s="12">
        <v>6413</v>
      </c>
      <c r="C25" s="13"/>
      <c r="D25" s="131" t="s">
        <v>155</v>
      </c>
      <c r="E25" s="13"/>
      <c r="F25" s="56"/>
      <c r="G25" s="56">
        <v>0.01</v>
      </c>
      <c r="H25" s="139"/>
    </row>
    <row r="26" spans="1:8" ht="58.5" customHeight="1" x14ac:dyDescent="0.25">
      <c r="A26" s="40"/>
      <c r="B26" s="40">
        <v>65</v>
      </c>
      <c r="C26" s="41"/>
      <c r="D26" s="42" t="s">
        <v>41</v>
      </c>
      <c r="E26" s="42"/>
      <c r="F26" s="59">
        <f>F27</f>
        <v>92654.45</v>
      </c>
      <c r="G26" s="59">
        <f t="shared" ref="G26" si="1">G27</f>
        <v>42309.21</v>
      </c>
      <c r="H26" s="137">
        <f>(G26/F26)*100</f>
        <v>45.663440881684579</v>
      </c>
    </row>
    <row r="27" spans="1:8" s="120" customFormat="1" x14ac:dyDescent="0.25">
      <c r="A27" s="118"/>
      <c r="B27" s="118"/>
      <c r="C27" s="118">
        <v>41</v>
      </c>
      <c r="D27" s="118" t="s">
        <v>50</v>
      </c>
      <c r="E27" s="118"/>
      <c r="F27" s="119">
        <f>3000+76054.45+200+13400</f>
        <v>92654.45</v>
      </c>
      <c r="G27" s="119">
        <f>G28</f>
        <v>42309.21</v>
      </c>
      <c r="H27" s="138">
        <f>(G27/F27)*100</f>
        <v>45.663440881684579</v>
      </c>
    </row>
    <row r="28" spans="1:8" x14ac:dyDescent="0.25">
      <c r="A28" s="12"/>
      <c r="B28" s="25">
        <v>652</v>
      </c>
      <c r="C28" s="13"/>
      <c r="D28" s="132" t="s">
        <v>156</v>
      </c>
      <c r="E28" s="13"/>
      <c r="F28" s="56"/>
      <c r="G28" s="124">
        <f>G29</f>
        <v>42309.21</v>
      </c>
      <c r="H28" s="139"/>
    </row>
    <row r="29" spans="1:8" x14ac:dyDescent="0.25">
      <c r="A29" s="12"/>
      <c r="B29" s="12">
        <v>6526</v>
      </c>
      <c r="C29" s="13"/>
      <c r="D29" s="132" t="s">
        <v>157</v>
      </c>
      <c r="E29" s="13"/>
      <c r="F29" s="56"/>
      <c r="G29" s="56">
        <v>42309.21</v>
      </c>
      <c r="H29" s="139"/>
    </row>
    <row r="30" spans="1:8" ht="25.5" x14ac:dyDescent="0.25">
      <c r="A30" s="40"/>
      <c r="B30" s="40">
        <v>66</v>
      </c>
      <c r="C30" s="41"/>
      <c r="D30" s="42" t="s">
        <v>46</v>
      </c>
      <c r="E30" s="42"/>
      <c r="F30" s="59">
        <f>SUM(F31:F35)</f>
        <v>7225</v>
      </c>
      <c r="G30" s="59">
        <f>G32+G36</f>
        <v>4491.5499999999993</v>
      </c>
      <c r="H30" s="137">
        <f>(G30/F30)*100</f>
        <v>62.166782006920407</v>
      </c>
    </row>
    <row r="31" spans="1:8" s="120" customFormat="1" x14ac:dyDescent="0.25">
      <c r="A31" s="118"/>
      <c r="B31" s="118"/>
      <c r="C31" s="118">
        <v>31</v>
      </c>
      <c r="D31" s="118" t="s">
        <v>52</v>
      </c>
      <c r="E31" s="118"/>
      <c r="F31" s="119">
        <f>796.35+2654.46</f>
        <v>3450.81</v>
      </c>
      <c r="G31" s="119">
        <f>G32</f>
        <v>1473.9099999999999</v>
      </c>
      <c r="H31" s="138">
        <f>(G31/F31)*100</f>
        <v>42.712000950501469</v>
      </c>
    </row>
    <row r="32" spans="1:8" ht="22.5" x14ac:dyDescent="0.25">
      <c r="A32" s="12"/>
      <c r="B32" s="25">
        <v>661</v>
      </c>
      <c r="C32" s="13"/>
      <c r="D32" s="131" t="s">
        <v>158</v>
      </c>
      <c r="E32" s="13"/>
      <c r="F32" s="56"/>
      <c r="G32" s="124">
        <f>G33+G34</f>
        <v>1473.9099999999999</v>
      </c>
      <c r="H32" s="139"/>
    </row>
    <row r="33" spans="1:8" x14ac:dyDescent="0.25">
      <c r="A33" s="12"/>
      <c r="B33" s="12">
        <v>6614</v>
      </c>
      <c r="C33" s="13"/>
      <c r="D33" s="132" t="s">
        <v>159</v>
      </c>
      <c r="E33" s="13"/>
      <c r="F33" s="56"/>
      <c r="G33" s="56">
        <v>106.84</v>
      </c>
      <c r="H33" s="139"/>
    </row>
    <row r="34" spans="1:8" x14ac:dyDescent="0.25">
      <c r="A34" s="12"/>
      <c r="B34" s="12">
        <v>6615</v>
      </c>
      <c r="C34" s="13"/>
      <c r="D34" s="132" t="s">
        <v>160</v>
      </c>
      <c r="E34" s="13"/>
      <c r="F34" s="56"/>
      <c r="G34" s="56">
        <v>1367.07</v>
      </c>
      <c r="H34" s="139"/>
    </row>
    <row r="35" spans="1:8" s="120" customFormat="1" x14ac:dyDescent="0.25">
      <c r="A35" s="118"/>
      <c r="B35" s="118"/>
      <c r="C35" s="118">
        <v>6103</v>
      </c>
      <c r="D35" s="118" t="s">
        <v>53</v>
      </c>
      <c r="E35" s="118"/>
      <c r="F35" s="119">
        <f>530.89+1116.07+2127.23</f>
        <v>3774.19</v>
      </c>
      <c r="G35" s="119">
        <f>G36</f>
        <v>3017.64</v>
      </c>
      <c r="H35" s="138">
        <f>(G35/F35)*100</f>
        <v>79.954639273592477</v>
      </c>
    </row>
    <row r="36" spans="1:8" ht="33.75" x14ac:dyDescent="0.25">
      <c r="A36" s="12"/>
      <c r="B36" s="25">
        <v>663</v>
      </c>
      <c r="C36" s="13"/>
      <c r="D36" s="131" t="s">
        <v>161</v>
      </c>
      <c r="E36" s="13"/>
      <c r="F36" s="56"/>
      <c r="G36" s="124">
        <f>G37+G38</f>
        <v>3017.64</v>
      </c>
      <c r="H36" s="139"/>
    </row>
    <row r="37" spans="1:8" x14ac:dyDescent="0.25">
      <c r="A37" s="12"/>
      <c r="B37" s="12">
        <v>6631</v>
      </c>
      <c r="C37" s="13"/>
      <c r="D37" s="132" t="s">
        <v>162</v>
      </c>
      <c r="E37" s="13"/>
      <c r="F37" s="56"/>
      <c r="G37" s="56">
        <v>890.41</v>
      </c>
      <c r="H37" s="139"/>
    </row>
    <row r="38" spans="1:8" x14ac:dyDescent="0.25">
      <c r="A38" s="12"/>
      <c r="B38" s="12">
        <v>6632</v>
      </c>
      <c r="C38" s="13"/>
      <c r="D38" s="132" t="s">
        <v>163</v>
      </c>
      <c r="E38" s="13"/>
      <c r="F38" s="56"/>
      <c r="G38" s="56">
        <v>2127.23</v>
      </c>
      <c r="H38" s="139"/>
    </row>
    <row r="39" spans="1:8" ht="25.5" x14ac:dyDescent="0.25">
      <c r="A39" s="40"/>
      <c r="B39" s="40">
        <v>67</v>
      </c>
      <c r="C39" s="41"/>
      <c r="D39" s="39" t="s">
        <v>36</v>
      </c>
      <c r="E39" s="39"/>
      <c r="F39" s="59">
        <f>F40</f>
        <v>436757.32999999996</v>
      </c>
      <c r="G39" s="59">
        <f>G40</f>
        <v>169951.22999999998</v>
      </c>
      <c r="H39" s="137">
        <f>(G39/F39)*100</f>
        <v>38.912049856152386</v>
      </c>
    </row>
    <row r="40" spans="1:8" s="120" customFormat="1" x14ac:dyDescent="0.25">
      <c r="A40" s="118"/>
      <c r="B40" s="118"/>
      <c r="C40" s="118">
        <v>11</v>
      </c>
      <c r="D40" s="118" t="s">
        <v>17</v>
      </c>
      <c r="E40" s="118"/>
      <c r="F40" s="119">
        <f>174685.75+703.43+5043.47+40000+2243.02+102589.61+58000+3000+12793.36+20178.43+17520.26</f>
        <v>436757.32999999996</v>
      </c>
      <c r="G40" s="119">
        <f>G41</f>
        <v>169951.22999999998</v>
      </c>
      <c r="H40" s="138">
        <f>(G40/F40)*100</f>
        <v>38.912049856152386</v>
      </c>
    </row>
    <row r="41" spans="1:8" ht="33.75" x14ac:dyDescent="0.25">
      <c r="A41" s="12"/>
      <c r="B41" s="12">
        <v>671</v>
      </c>
      <c r="C41" s="13"/>
      <c r="D41" s="131" t="s">
        <v>164</v>
      </c>
      <c r="E41" s="13"/>
      <c r="F41" s="56"/>
      <c r="G41" s="56">
        <f>G42</f>
        <v>169951.22999999998</v>
      </c>
      <c r="H41" s="139"/>
    </row>
    <row r="42" spans="1:8" ht="22.5" x14ac:dyDescent="0.25">
      <c r="A42" s="12"/>
      <c r="B42" s="12">
        <v>6711</v>
      </c>
      <c r="C42" s="13"/>
      <c r="D42" s="131" t="s">
        <v>165</v>
      </c>
      <c r="E42" s="13"/>
      <c r="F42" s="56"/>
      <c r="G42" s="56">
        <f>146744.55+20339.62+2867.06</f>
        <v>169951.22999999998</v>
      </c>
      <c r="H42" s="139"/>
    </row>
    <row r="43" spans="1:8" x14ac:dyDescent="0.25">
      <c r="A43" s="40"/>
      <c r="B43" s="40">
        <v>68</v>
      </c>
      <c r="C43" s="41"/>
      <c r="D43" s="42" t="s">
        <v>42</v>
      </c>
      <c r="E43" s="42"/>
      <c r="F43" s="59">
        <f>F44</f>
        <v>132.72</v>
      </c>
      <c r="G43" s="59">
        <f t="shared" ref="G43" si="2">G44</f>
        <v>0</v>
      </c>
      <c r="H43" s="137">
        <f>(G43/F43)*100</f>
        <v>0</v>
      </c>
    </row>
    <row r="44" spans="1:8" s="123" customFormat="1" x14ac:dyDescent="0.25">
      <c r="A44" s="121"/>
      <c r="B44" s="121"/>
      <c r="C44" s="118">
        <v>31</v>
      </c>
      <c r="D44" s="118" t="s">
        <v>52</v>
      </c>
      <c r="E44" s="118"/>
      <c r="F44" s="122">
        <v>132.72</v>
      </c>
      <c r="G44" s="122"/>
      <c r="H44" s="140"/>
    </row>
    <row r="45" spans="1:8" x14ac:dyDescent="0.25">
      <c r="A45" s="53"/>
      <c r="B45" s="53"/>
      <c r="C45" s="54"/>
      <c r="D45" s="54"/>
      <c r="E45" s="54"/>
      <c r="F45" s="55"/>
      <c r="G45" s="55"/>
      <c r="H45" s="141"/>
    </row>
    <row r="46" spans="1:8" ht="15.75" x14ac:dyDescent="0.25">
      <c r="A46" s="218" t="s">
        <v>94</v>
      </c>
      <c r="B46" s="240"/>
      <c r="C46" s="240"/>
      <c r="D46" s="240"/>
      <c r="E46" s="240"/>
      <c r="F46" s="240"/>
      <c r="G46" s="240"/>
      <c r="H46" s="240"/>
    </row>
    <row r="47" spans="1:8" x14ac:dyDescent="0.25">
      <c r="A47" s="53"/>
      <c r="B47" s="53"/>
      <c r="C47" s="54"/>
      <c r="D47" s="54"/>
      <c r="E47" s="54"/>
      <c r="F47" s="55"/>
      <c r="G47" s="55"/>
      <c r="H47" s="142" t="s">
        <v>54</v>
      </c>
    </row>
    <row r="48" spans="1:8" ht="38.25" x14ac:dyDescent="0.25">
      <c r="A48" s="20" t="s">
        <v>13</v>
      </c>
      <c r="B48" s="19" t="s">
        <v>14</v>
      </c>
      <c r="C48" s="19" t="s">
        <v>15</v>
      </c>
      <c r="D48" s="19" t="s">
        <v>144</v>
      </c>
      <c r="E48" s="19" t="s">
        <v>139</v>
      </c>
      <c r="F48" s="20" t="s">
        <v>140</v>
      </c>
      <c r="G48" s="20" t="s">
        <v>141</v>
      </c>
      <c r="H48" s="20" t="s">
        <v>142</v>
      </c>
    </row>
    <row r="49" spans="1:12" x14ac:dyDescent="0.25">
      <c r="A49" s="237">
        <v>1</v>
      </c>
      <c r="B49" s="238"/>
      <c r="C49" s="238"/>
      <c r="D49" s="239"/>
      <c r="E49" s="110">
        <v>2</v>
      </c>
      <c r="F49" s="111">
        <v>3</v>
      </c>
      <c r="G49" s="111">
        <v>4</v>
      </c>
      <c r="H49" s="111" t="s">
        <v>143</v>
      </c>
    </row>
    <row r="50" spans="1:12" x14ac:dyDescent="0.25">
      <c r="A50" s="45">
        <v>9</v>
      </c>
      <c r="B50" s="45"/>
      <c r="C50" s="45"/>
      <c r="D50" s="45" t="s">
        <v>91</v>
      </c>
      <c r="E50" s="45"/>
      <c r="F50" s="46"/>
      <c r="G50" s="46"/>
      <c r="H50" s="143"/>
    </row>
    <row r="51" spans="1:12" x14ac:dyDescent="0.25">
      <c r="A51" s="38"/>
      <c r="B51" s="39">
        <v>92</v>
      </c>
      <c r="C51" s="39"/>
      <c r="D51" s="39" t="s">
        <v>92</v>
      </c>
      <c r="E51" s="39"/>
      <c r="F51" s="59">
        <f>SUM(F52:F57)</f>
        <v>27807.670000000002</v>
      </c>
      <c r="G51" s="59">
        <f>SUM(G52:G57)</f>
        <v>16994.47</v>
      </c>
      <c r="H51" s="137">
        <f>(G51/F51)*100</f>
        <v>61.114325651879497</v>
      </c>
    </row>
    <row r="52" spans="1:12" x14ac:dyDescent="0.25">
      <c r="A52" s="12"/>
      <c r="B52" s="12"/>
      <c r="C52" s="13">
        <v>9231</v>
      </c>
      <c r="D52" s="13" t="s">
        <v>88</v>
      </c>
      <c r="E52" s="13"/>
      <c r="F52" s="56">
        <f>1996.82+1514.63</f>
        <v>3511.45</v>
      </c>
      <c r="G52" s="56">
        <f>1952.66+19.32+1038</f>
        <v>3009.98</v>
      </c>
      <c r="H52" s="139">
        <f>(G52/F52)*100</f>
        <v>85.719004969457075</v>
      </c>
    </row>
    <row r="53" spans="1:12" x14ac:dyDescent="0.25">
      <c r="A53" s="12"/>
      <c r="B53" s="12"/>
      <c r="C53" s="13">
        <v>9241</v>
      </c>
      <c r="D53" s="13" t="s">
        <v>50</v>
      </c>
      <c r="E53" s="13"/>
      <c r="F53" s="56">
        <v>6037.37</v>
      </c>
      <c r="G53" s="56">
        <f>6008.93</f>
        <v>6008.93</v>
      </c>
      <c r="H53" s="139">
        <f t="shared" ref="H53:H57" si="3">(G53/F53)*100</f>
        <v>99.52893395634193</v>
      </c>
    </row>
    <row r="54" spans="1:12" x14ac:dyDescent="0.25">
      <c r="A54" s="12"/>
      <c r="B54" s="12"/>
      <c r="C54" s="13">
        <v>92530</v>
      </c>
      <c r="D54" s="13" t="s">
        <v>55</v>
      </c>
      <c r="E54" s="13"/>
      <c r="F54" s="56">
        <v>12664.29</v>
      </c>
      <c r="G54" s="56">
        <v>7975.56</v>
      </c>
      <c r="H54" s="139">
        <f t="shared" si="3"/>
        <v>62.976763798049475</v>
      </c>
    </row>
    <row r="55" spans="1:12" x14ac:dyDescent="0.25">
      <c r="A55" s="12"/>
      <c r="B55" s="12"/>
      <c r="C55" s="13">
        <v>925401</v>
      </c>
      <c r="D55" s="13" t="s">
        <v>128</v>
      </c>
      <c r="E55" s="13"/>
      <c r="F55" s="56">
        <v>4718.59</v>
      </c>
      <c r="G55" s="56">
        <v>0</v>
      </c>
      <c r="H55" s="139">
        <f t="shared" si="3"/>
        <v>0</v>
      </c>
    </row>
    <row r="56" spans="1:12" x14ac:dyDescent="0.25">
      <c r="A56" s="12"/>
      <c r="B56" s="12"/>
      <c r="C56" s="13">
        <v>9257</v>
      </c>
      <c r="D56" s="13" t="s">
        <v>51</v>
      </c>
      <c r="E56" s="13"/>
      <c r="F56" s="56">
        <v>663.61</v>
      </c>
      <c r="G56" s="56">
        <v>0</v>
      </c>
      <c r="H56" s="139">
        <f t="shared" si="3"/>
        <v>0</v>
      </c>
    </row>
    <row r="57" spans="1:12" x14ac:dyDescent="0.25">
      <c r="A57" s="12"/>
      <c r="B57" s="12"/>
      <c r="C57" s="13">
        <v>926103</v>
      </c>
      <c r="D57" s="13" t="s">
        <v>53</v>
      </c>
      <c r="E57" s="13"/>
      <c r="F57" s="56">
        <v>212.36</v>
      </c>
      <c r="G57" s="56">
        <v>0</v>
      </c>
      <c r="H57" s="139">
        <f t="shared" si="3"/>
        <v>0</v>
      </c>
    </row>
    <row r="58" spans="1:12" x14ac:dyDescent="0.25">
      <c r="A58" s="12"/>
      <c r="B58" s="12"/>
      <c r="C58" s="13"/>
      <c r="D58" s="13"/>
      <c r="E58" s="13"/>
      <c r="F58" s="10"/>
      <c r="G58" s="10"/>
      <c r="H58" s="144"/>
    </row>
    <row r="60" spans="1:12" ht="15.75" x14ac:dyDescent="0.25">
      <c r="A60" s="218" t="s">
        <v>18</v>
      </c>
      <c r="B60" s="240"/>
      <c r="C60" s="240"/>
      <c r="D60" s="240"/>
      <c r="E60" s="240"/>
      <c r="F60" s="240"/>
      <c r="G60" s="240"/>
      <c r="H60" s="240"/>
    </row>
    <row r="61" spans="1:12" ht="18" x14ac:dyDescent="0.25">
      <c r="A61" s="5"/>
      <c r="B61" s="5"/>
      <c r="C61" s="5"/>
      <c r="D61" s="5"/>
      <c r="E61" s="24"/>
      <c r="F61" s="63">
        <f>F64+F199</f>
        <v>3359254.35</v>
      </c>
      <c r="G61" s="63">
        <f>G64+G199</f>
        <v>1571771.76</v>
      </c>
      <c r="H61" s="63">
        <f>H64+H199</f>
        <v>0</v>
      </c>
      <c r="I61" s="50" t="s">
        <v>54</v>
      </c>
    </row>
    <row r="62" spans="1:12" ht="38.25" x14ac:dyDescent="0.25">
      <c r="A62" s="20" t="s">
        <v>13</v>
      </c>
      <c r="B62" s="19" t="s">
        <v>14</v>
      </c>
      <c r="C62" s="19" t="s">
        <v>15</v>
      </c>
      <c r="D62" s="19" t="s">
        <v>144</v>
      </c>
      <c r="E62" s="19" t="s">
        <v>139</v>
      </c>
      <c r="F62" s="20" t="s">
        <v>140</v>
      </c>
      <c r="G62" s="20" t="s">
        <v>141</v>
      </c>
      <c r="H62" s="20" t="s">
        <v>142</v>
      </c>
    </row>
    <row r="63" spans="1:12" x14ac:dyDescent="0.25">
      <c r="A63" s="237">
        <v>1</v>
      </c>
      <c r="B63" s="238"/>
      <c r="C63" s="238"/>
      <c r="D63" s="239"/>
      <c r="E63" s="110">
        <v>2</v>
      </c>
      <c r="F63" s="111">
        <v>3</v>
      </c>
      <c r="G63" s="111">
        <v>4</v>
      </c>
      <c r="H63" s="111" t="s">
        <v>143</v>
      </c>
    </row>
    <row r="64" spans="1:12" ht="15.75" customHeight="1" x14ac:dyDescent="0.25">
      <c r="A64" s="45">
        <v>3</v>
      </c>
      <c r="B64" s="45"/>
      <c r="C64" s="45"/>
      <c r="D64" s="45" t="s">
        <v>19</v>
      </c>
      <c r="E64" s="45"/>
      <c r="F64" s="62">
        <f>F65+F96+F179+F187+F197</f>
        <v>3274560.58</v>
      </c>
      <c r="G64" s="62">
        <f>G65+G96+G179+G187+G197</f>
        <v>1563002.47</v>
      </c>
      <c r="H64" s="145"/>
      <c r="L64" s="215"/>
    </row>
    <row r="65" spans="1:8" ht="15.75" customHeight="1" x14ac:dyDescent="0.25">
      <c r="A65" s="38"/>
      <c r="B65" s="39">
        <v>31</v>
      </c>
      <c r="C65" s="39"/>
      <c r="D65" s="39" t="s">
        <v>20</v>
      </c>
      <c r="E65" s="39"/>
      <c r="F65" s="59">
        <f>SUM(F66:F95)</f>
        <v>2532382.9000000004</v>
      </c>
      <c r="G65" s="59">
        <f>G66+G73+G74+G75+G80+G83+G88+G95</f>
        <v>1257461.22</v>
      </c>
      <c r="H65" s="137">
        <f>(G65/F65)*100</f>
        <v>49.655256320045432</v>
      </c>
    </row>
    <row r="66" spans="1:8" s="123" customFormat="1" x14ac:dyDescent="0.25">
      <c r="A66" s="121"/>
      <c r="B66" s="121"/>
      <c r="C66" s="118">
        <v>11</v>
      </c>
      <c r="D66" s="118" t="s">
        <v>17</v>
      </c>
      <c r="E66" s="118"/>
      <c r="F66" s="122">
        <f>101262.38+11945.05+19915.64+17120.26</f>
        <v>150243.33000000002</v>
      </c>
      <c r="G66" s="122">
        <f>G67+G69+G71</f>
        <v>70699.72</v>
      </c>
      <c r="H66" s="140">
        <f>(G66/F66)*100</f>
        <v>47.056811107687771</v>
      </c>
    </row>
    <row r="67" spans="1:8" x14ac:dyDescent="0.25">
      <c r="A67" s="12"/>
      <c r="B67" s="25">
        <v>311</v>
      </c>
      <c r="C67" s="13"/>
      <c r="D67" s="131" t="s">
        <v>166</v>
      </c>
      <c r="E67" s="13"/>
      <c r="F67" s="56"/>
      <c r="G67" s="124">
        <f>G68</f>
        <v>60100.33</v>
      </c>
      <c r="H67" s="139"/>
    </row>
    <row r="68" spans="1:8" x14ac:dyDescent="0.25">
      <c r="A68" s="12"/>
      <c r="B68" s="12">
        <v>3111</v>
      </c>
      <c r="C68" s="13"/>
      <c r="D68" s="131" t="s">
        <v>167</v>
      </c>
      <c r="E68" s="13"/>
      <c r="F68" s="56"/>
      <c r="G68" s="56">
        <f>55100.33+5000</f>
        <v>60100.33</v>
      </c>
      <c r="H68" s="139"/>
    </row>
    <row r="69" spans="1:8" x14ac:dyDescent="0.25">
      <c r="A69" s="12"/>
      <c r="B69" s="25">
        <v>312</v>
      </c>
      <c r="C69" s="13"/>
      <c r="D69" s="131" t="s">
        <v>168</v>
      </c>
      <c r="E69" s="13"/>
      <c r="F69" s="56"/>
      <c r="G69" s="124">
        <f>G70</f>
        <v>199.08</v>
      </c>
      <c r="H69" s="139"/>
    </row>
    <row r="70" spans="1:8" x14ac:dyDescent="0.25">
      <c r="A70" s="12"/>
      <c r="B70" s="12">
        <v>3121</v>
      </c>
      <c r="C70" s="13"/>
      <c r="D70" s="131" t="s">
        <v>168</v>
      </c>
      <c r="E70" s="13"/>
      <c r="F70" s="56"/>
      <c r="G70" s="56">
        <v>199.08</v>
      </c>
      <c r="H70" s="139"/>
    </row>
    <row r="71" spans="1:8" x14ac:dyDescent="0.25">
      <c r="A71" s="12"/>
      <c r="B71" s="25">
        <v>313</v>
      </c>
      <c r="C71" s="13"/>
      <c r="D71" s="131" t="s">
        <v>169</v>
      </c>
      <c r="E71" s="13"/>
      <c r="F71" s="56"/>
      <c r="G71" s="124">
        <f>G72</f>
        <v>10400.31</v>
      </c>
      <c r="H71" s="139"/>
    </row>
    <row r="72" spans="1:8" ht="22.5" x14ac:dyDescent="0.25">
      <c r="A72" s="12"/>
      <c r="B72" s="12">
        <v>3132</v>
      </c>
      <c r="C72" s="13"/>
      <c r="D72" s="131" t="s">
        <v>170</v>
      </c>
      <c r="E72" s="13"/>
      <c r="F72" s="56"/>
      <c r="G72" s="56">
        <f>8400.31+2000</f>
        <v>10400.31</v>
      </c>
      <c r="H72" s="139"/>
    </row>
    <row r="73" spans="1:8" s="123" customFormat="1" x14ac:dyDescent="0.25">
      <c r="A73" s="121"/>
      <c r="B73" s="121"/>
      <c r="C73" s="118">
        <v>31</v>
      </c>
      <c r="D73" s="118" t="s">
        <v>88</v>
      </c>
      <c r="E73" s="118"/>
      <c r="F73" s="122">
        <f>331.82</f>
        <v>331.82</v>
      </c>
      <c r="G73" s="122">
        <v>0</v>
      </c>
      <c r="H73" s="140">
        <f>(G73/F73)*100</f>
        <v>0</v>
      </c>
    </row>
    <row r="74" spans="1:8" s="123" customFormat="1" x14ac:dyDescent="0.25">
      <c r="A74" s="121"/>
      <c r="B74" s="121"/>
      <c r="C74" s="118">
        <v>9231</v>
      </c>
      <c r="D74" s="118" t="s">
        <v>93</v>
      </c>
      <c r="E74" s="118"/>
      <c r="F74" s="122">
        <v>158.33000000000001</v>
      </c>
      <c r="G74" s="122">
        <v>0</v>
      </c>
      <c r="H74" s="140">
        <f t="shared" ref="H74:H75" si="4">(G74/F74)*100</f>
        <v>0</v>
      </c>
    </row>
    <row r="75" spans="1:8" s="123" customFormat="1" x14ac:dyDescent="0.25">
      <c r="A75" s="121"/>
      <c r="B75" s="121"/>
      <c r="C75" s="118">
        <v>41</v>
      </c>
      <c r="D75" s="118" t="s">
        <v>50</v>
      </c>
      <c r="E75" s="118"/>
      <c r="F75" s="122">
        <v>3000</v>
      </c>
      <c r="G75" s="122">
        <f>G76+G78</f>
        <v>1706.65</v>
      </c>
      <c r="H75" s="140">
        <f t="shared" si="4"/>
        <v>56.888333333333343</v>
      </c>
    </row>
    <row r="76" spans="1:8" x14ac:dyDescent="0.25">
      <c r="A76" s="12"/>
      <c r="B76" s="25">
        <v>311</v>
      </c>
      <c r="C76" s="13"/>
      <c r="D76" s="131" t="s">
        <v>166</v>
      </c>
      <c r="E76" s="13"/>
      <c r="F76" s="56"/>
      <c r="G76" s="124">
        <f>G77</f>
        <v>1464.93</v>
      </c>
      <c r="H76" s="146"/>
    </row>
    <row r="77" spans="1:8" x14ac:dyDescent="0.25">
      <c r="A77" s="12"/>
      <c r="B77" s="12">
        <v>3111</v>
      </c>
      <c r="C77" s="13"/>
      <c r="D77" s="131" t="s">
        <v>167</v>
      </c>
      <c r="E77" s="13"/>
      <c r="F77" s="56"/>
      <c r="G77" s="56">
        <v>1464.93</v>
      </c>
      <c r="H77" s="146"/>
    </row>
    <row r="78" spans="1:8" x14ac:dyDescent="0.25">
      <c r="A78" s="12"/>
      <c r="B78" s="25">
        <v>313</v>
      </c>
      <c r="C78" s="13"/>
      <c r="D78" s="131" t="s">
        <v>169</v>
      </c>
      <c r="E78" s="13"/>
      <c r="F78" s="56"/>
      <c r="G78" s="124">
        <f>G79</f>
        <v>241.72</v>
      </c>
      <c r="H78" s="146"/>
    </row>
    <row r="79" spans="1:8" ht="22.5" x14ac:dyDescent="0.25">
      <c r="A79" s="12"/>
      <c r="B79" s="12">
        <v>3132</v>
      </c>
      <c r="C79" s="13"/>
      <c r="D79" s="131" t="s">
        <v>170</v>
      </c>
      <c r="E79" s="13"/>
      <c r="F79" s="56"/>
      <c r="G79" s="56">
        <v>241.72</v>
      </c>
      <c r="H79" s="146"/>
    </row>
    <row r="80" spans="1:8" s="123" customFormat="1" x14ac:dyDescent="0.25">
      <c r="A80" s="121"/>
      <c r="B80" s="121"/>
      <c r="C80" s="118">
        <v>92530</v>
      </c>
      <c r="D80" s="118" t="s">
        <v>97</v>
      </c>
      <c r="E80" s="118"/>
      <c r="F80" s="122">
        <f>11619.74</f>
        <v>11619.74</v>
      </c>
      <c r="G80" s="122">
        <f>G81</f>
        <v>7402.2</v>
      </c>
      <c r="H80" s="147">
        <f>(G80/F80)*100</f>
        <v>63.703662904677728</v>
      </c>
    </row>
    <row r="81" spans="1:8" x14ac:dyDescent="0.25">
      <c r="A81" s="12"/>
      <c r="B81" s="25">
        <v>311</v>
      </c>
      <c r="C81" s="13"/>
      <c r="D81" s="131" t="s">
        <v>166</v>
      </c>
      <c r="E81" s="13"/>
      <c r="F81" s="56"/>
      <c r="G81" s="124">
        <f>G82</f>
        <v>7402.2</v>
      </c>
      <c r="H81" s="147"/>
    </row>
    <row r="82" spans="1:8" x14ac:dyDescent="0.25">
      <c r="A82" s="12"/>
      <c r="B82" s="12">
        <v>3111</v>
      </c>
      <c r="C82" s="13"/>
      <c r="D82" s="131" t="s">
        <v>167</v>
      </c>
      <c r="E82" s="13"/>
      <c r="F82" s="56"/>
      <c r="G82" s="56">
        <v>7402.2</v>
      </c>
      <c r="H82" s="147"/>
    </row>
    <row r="83" spans="1:8" s="123" customFormat="1" x14ac:dyDescent="0.25">
      <c r="A83" s="121"/>
      <c r="B83" s="121"/>
      <c r="C83" s="118">
        <v>5402</v>
      </c>
      <c r="D83" s="118" t="s">
        <v>56</v>
      </c>
      <c r="E83" s="118"/>
      <c r="F83" s="122">
        <v>55972.05</v>
      </c>
      <c r="G83" s="122">
        <f>G84+G86</f>
        <v>40193.160000000003</v>
      </c>
      <c r="H83" s="147">
        <f t="shared" ref="H83:H95" si="5">(G83/F83)*100</f>
        <v>71.809340554794758</v>
      </c>
    </row>
    <row r="84" spans="1:8" x14ac:dyDescent="0.25">
      <c r="A84" s="12"/>
      <c r="B84" s="25">
        <v>311</v>
      </c>
      <c r="C84" s="13"/>
      <c r="D84" s="131" t="s">
        <v>166</v>
      </c>
      <c r="E84" s="13"/>
      <c r="F84" s="56"/>
      <c r="G84" s="124">
        <f>G85</f>
        <v>36517.760000000002</v>
      </c>
      <c r="H84" s="147"/>
    </row>
    <row r="85" spans="1:8" x14ac:dyDescent="0.25">
      <c r="A85" s="12"/>
      <c r="B85" s="12">
        <v>3111</v>
      </c>
      <c r="C85" s="13"/>
      <c r="D85" s="131" t="s">
        <v>167</v>
      </c>
      <c r="E85" s="13"/>
      <c r="F85" s="56"/>
      <c r="G85" s="56">
        <v>36517.760000000002</v>
      </c>
      <c r="H85" s="147"/>
    </row>
    <row r="86" spans="1:8" x14ac:dyDescent="0.25">
      <c r="A86" s="12"/>
      <c r="B86" s="25">
        <v>313</v>
      </c>
      <c r="C86" s="13"/>
      <c r="D86" s="131" t="s">
        <v>169</v>
      </c>
      <c r="E86" s="13"/>
      <c r="F86" s="56"/>
      <c r="G86" s="124">
        <f>G87</f>
        <v>3675.4</v>
      </c>
      <c r="H86" s="147"/>
    </row>
    <row r="87" spans="1:8" ht="22.5" x14ac:dyDescent="0.25">
      <c r="A87" s="12"/>
      <c r="B87" s="12">
        <v>3132</v>
      </c>
      <c r="C87" s="13"/>
      <c r="D87" s="131" t="s">
        <v>170</v>
      </c>
      <c r="E87" s="13"/>
      <c r="F87" s="56"/>
      <c r="G87" s="56">
        <v>3675.4</v>
      </c>
      <c r="H87" s="147"/>
    </row>
    <row r="88" spans="1:8" s="123" customFormat="1" x14ac:dyDescent="0.25">
      <c r="A88" s="121"/>
      <c r="B88" s="121"/>
      <c r="C88" s="118">
        <v>57</v>
      </c>
      <c r="D88" s="118" t="s">
        <v>51</v>
      </c>
      <c r="E88" s="118"/>
      <c r="F88" s="122">
        <f>2298541.37+11985.37</f>
        <v>2310526.7400000002</v>
      </c>
      <c r="G88" s="122">
        <f>G89+G91+G93</f>
        <v>1137459.49</v>
      </c>
      <c r="H88" s="147">
        <f t="shared" si="5"/>
        <v>49.229444970630368</v>
      </c>
    </row>
    <row r="89" spans="1:8" x14ac:dyDescent="0.25">
      <c r="A89" s="12"/>
      <c r="B89" s="25">
        <v>311</v>
      </c>
      <c r="C89" s="13"/>
      <c r="D89" s="131" t="s">
        <v>166</v>
      </c>
      <c r="E89" s="13"/>
      <c r="F89" s="56"/>
      <c r="G89" s="124">
        <f>G90</f>
        <v>948227.35</v>
      </c>
      <c r="H89" s="147"/>
    </row>
    <row r="90" spans="1:8" x14ac:dyDescent="0.25">
      <c r="A90" s="12"/>
      <c r="B90" s="12">
        <v>3111</v>
      </c>
      <c r="C90" s="13"/>
      <c r="D90" s="131" t="s">
        <v>167</v>
      </c>
      <c r="E90" s="13"/>
      <c r="F90" s="56"/>
      <c r="G90" s="56">
        <f>943227.35+5000</f>
        <v>948227.35</v>
      </c>
      <c r="H90" s="147"/>
    </row>
    <row r="91" spans="1:8" x14ac:dyDescent="0.25">
      <c r="A91" s="12"/>
      <c r="B91" s="25">
        <v>312</v>
      </c>
      <c r="C91" s="13"/>
      <c r="D91" s="131" t="s">
        <v>168</v>
      </c>
      <c r="E91" s="13"/>
      <c r="F91" s="56"/>
      <c r="G91" s="124">
        <f>G92</f>
        <v>35983.699999999997</v>
      </c>
      <c r="H91" s="147"/>
    </row>
    <row r="92" spans="1:8" x14ac:dyDescent="0.25">
      <c r="A92" s="12"/>
      <c r="B92" s="12">
        <v>3121</v>
      </c>
      <c r="C92" s="13"/>
      <c r="D92" s="131" t="s">
        <v>168</v>
      </c>
      <c r="E92" s="13"/>
      <c r="F92" s="56"/>
      <c r="G92" s="56">
        <v>35983.699999999997</v>
      </c>
      <c r="H92" s="147"/>
    </row>
    <row r="93" spans="1:8" x14ac:dyDescent="0.25">
      <c r="A93" s="12"/>
      <c r="B93" s="25">
        <v>313</v>
      </c>
      <c r="C93" s="13"/>
      <c r="D93" s="131" t="s">
        <v>169</v>
      </c>
      <c r="E93" s="13"/>
      <c r="F93" s="56"/>
      <c r="G93" s="124">
        <f>G94</f>
        <v>153248.44</v>
      </c>
      <c r="H93" s="147"/>
    </row>
    <row r="94" spans="1:8" ht="22.5" x14ac:dyDescent="0.25">
      <c r="A94" s="12"/>
      <c r="B94" s="12">
        <v>3132</v>
      </c>
      <c r="C94" s="13"/>
      <c r="D94" s="131" t="s">
        <v>170</v>
      </c>
      <c r="E94" s="13"/>
      <c r="F94" s="56"/>
      <c r="G94" s="56">
        <f>151248.44+2000</f>
        <v>153248.44</v>
      </c>
      <c r="H94" s="147"/>
    </row>
    <row r="95" spans="1:8" s="123" customFormat="1" x14ac:dyDescent="0.25">
      <c r="A95" s="121"/>
      <c r="B95" s="121"/>
      <c r="C95" s="118">
        <v>6103</v>
      </c>
      <c r="D95" s="118" t="s">
        <v>53</v>
      </c>
      <c r="E95" s="118"/>
      <c r="F95" s="122">
        <v>530.89</v>
      </c>
      <c r="G95" s="122">
        <v>0</v>
      </c>
      <c r="H95" s="147">
        <f t="shared" si="5"/>
        <v>0</v>
      </c>
    </row>
    <row r="96" spans="1:8" x14ac:dyDescent="0.25">
      <c r="A96" s="40"/>
      <c r="B96" s="40">
        <v>32</v>
      </c>
      <c r="C96" s="41"/>
      <c r="D96" s="40" t="s">
        <v>29</v>
      </c>
      <c r="E96" s="40"/>
      <c r="F96" s="59">
        <f>SUM(F97:F178)</f>
        <v>605252.50999999989</v>
      </c>
      <c r="G96" s="59">
        <f>G97+G121+G122+G135+G149+G150+G153+G158+G159+G174+G175+G178</f>
        <v>303947.95000000007</v>
      </c>
      <c r="H96" s="137">
        <f>(G96/F96)*100</f>
        <v>50.21837084161784</v>
      </c>
    </row>
    <row r="97" spans="1:8" s="123" customFormat="1" x14ac:dyDescent="0.25">
      <c r="A97" s="121"/>
      <c r="B97" s="121"/>
      <c r="C97" s="118">
        <v>11</v>
      </c>
      <c r="D97" s="118" t="s">
        <v>17</v>
      </c>
      <c r="E97" s="118"/>
      <c r="F97" s="122">
        <f>174685.75+2189.92+1327.23+3000+848.31+262.79+400</f>
        <v>182714.00000000003</v>
      </c>
      <c r="G97" s="122">
        <f>G98+G103+G108+G116</f>
        <v>95440.750000000015</v>
      </c>
      <c r="H97" s="140">
        <f>(G97/F97)*100</f>
        <v>52.235050406646458</v>
      </c>
    </row>
    <row r="98" spans="1:8" x14ac:dyDescent="0.25">
      <c r="A98" s="12"/>
      <c r="B98" s="25">
        <v>321</v>
      </c>
      <c r="C98" s="13"/>
      <c r="D98" s="131" t="s">
        <v>171</v>
      </c>
      <c r="E98" s="13"/>
      <c r="F98" s="56"/>
      <c r="G98" s="124">
        <f>SUM(G99:G102)</f>
        <v>9063.33</v>
      </c>
      <c r="H98" s="140"/>
    </row>
    <row r="99" spans="1:8" x14ac:dyDescent="0.25">
      <c r="A99" s="12"/>
      <c r="B99" s="12">
        <v>3211</v>
      </c>
      <c r="C99" s="13"/>
      <c r="D99" s="131" t="s">
        <v>172</v>
      </c>
      <c r="E99" s="13"/>
      <c r="F99" s="56"/>
      <c r="G99" s="56">
        <f>6375.73+522.66</f>
        <v>6898.3899999999994</v>
      </c>
      <c r="H99" s="140"/>
    </row>
    <row r="100" spans="1:8" ht="22.5" x14ac:dyDescent="0.25">
      <c r="A100" s="12"/>
      <c r="B100" s="12">
        <v>3212</v>
      </c>
      <c r="C100" s="13"/>
      <c r="D100" s="131" t="s">
        <v>173</v>
      </c>
      <c r="E100" s="13"/>
      <c r="F100" s="56"/>
      <c r="G100" s="56">
        <v>919.74</v>
      </c>
      <c r="H100" s="140"/>
    </row>
    <row r="101" spans="1:8" x14ac:dyDescent="0.25">
      <c r="A101" s="12"/>
      <c r="B101" s="12">
        <v>3213</v>
      </c>
      <c r="C101" s="13"/>
      <c r="D101" s="131" t="s">
        <v>174</v>
      </c>
      <c r="E101" s="13"/>
      <c r="F101" s="56"/>
      <c r="G101" s="56">
        <v>350</v>
      </c>
      <c r="H101" s="140"/>
    </row>
    <row r="102" spans="1:8" ht="22.5" x14ac:dyDescent="0.25">
      <c r="A102" s="12"/>
      <c r="B102" s="12">
        <v>3214</v>
      </c>
      <c r="C102" s="13"/>
      <c r="D102" s="131" t="s">
        <v>175</v>
      </c>
      <c r="E102" s="13"/>
      <c r="F102" s="56"/>
      <c r="G102" s="56">
        <v>895.2</v>
      </c>
      <c r="H102" s="140"/>
    </row>
    <row r="103" spans="1:8" x14ac:dyDescent="0.25">
      <c r="A103" s="12"/>
      <c r="B103" s="25">
        <v>322</v>
      </c>
      <c r="C103" s="13"/>
      <c r="D103" s="131" t="s">
        <v>176</v>
      </c>
      <c r="E103" s="13"/>
      <c r="F103" s="56"/>
      <c r="G103" s="124">
        <f>SUM(G104:G107)</f>
        <v>53126.130000000005</v>
      </c>
      <c r="H103" s="140"/>
    </row>
    <row r="104" spans="1:8" ht="22.5" x14ac:dyDescent="0.25">
      <c r="A104" s="12"/>
      <c r="B104" s="12">
        <v>3221</v>
      </c>
      <c r="C104" s="13"/>
      <c r="D104" s="131" t="s">
        <v>177</v>
      </c>
      <c r="E104" s="13"/>
      <c r="F104" s="56"/>
      <c r="G104" s="56">
        <v>13525.95</v>
      </c>
      <c r="H104" s="140"/>
    </row>
    <row r="105" spans="1:8" x14ac:dyDescent="0.25">
      <c r="A105" s="12"/>
      <c r="B105" s="12">
        <v>3222</v>
      </c>
      <c r="C105" s="13"/>
      <c r="D105" s="131" t="s">
        <v>178</v>
      </c>
      <c r="E105" s="13"/>
      <c r="F105" s="56"/>
      <c r="G105" s="56">
        <v>2867.06</v>
      </c>
      <c r="H105" s="140"/>
    </row>
    <row r="106" spans="1:8" x14ac:dyDescent="0.25">
      <c r="A106" s="12"/>
      <c r="B106" s="12">
        <v>3223</v>
      </c>
      <c r="C106" s="13"/>
      <c r="D106" s="131" t="s">
        <v>179</v>
      </c>
      <c r="E106" s="13"/>
      <c r="F106" s="56"/>
      <c r="G106" s="56">
        <v>36710.120000000003</v>
      </c>
      <c r="H106" s="140"/>
    </row>
    <row r="107" spans="1:8" x14ac:dyDescent="0.25">
      <c r="A107" s="12"/>
      <c r="B107" s="12">
        <v>3225</v>
      </c>
      <c r="C107" s="13"/>
      <c r="D107" s="131" t="s">
        <v>180</v>
      </c>
      <c r="E107" s="13"/>
      <c r="F107" s="56"/>
      <c r="G107" s="56">
        <v>23</v>
      </c>
      <c r="H107" s="140"/>
    </row>
    <row r="108" spans="1:8" x14ac:dyDescent="0.25">
      <c r="A108" s="12"/>
      <c r="B108" s="25">
        <v>323</v>
      </c>
      <c r="C108" s="13"/>
      <c r="D108" s="131" t="s">
        <v>181</v>
      </c>
      <c r="E108" s="13"/>
      <c r="F108" s="56"/>
      <c r="G108" s="124">
        <f>SUM(G109:G115)</f>
        <v>28529.15</v>
      </c>
      <c r="H108" s="140"/>
    </row>
    <row r="109" spans="1:8" x14ac:dyDescent="0.25">
      <c r="A109" s="12"/>
      <c r="B109" s="12">
        <v>3231</v>
      </c>
      <c r="C109" s="13"/>
      <c r="D109" s="131" t="s">
        <v>182</v>
      </c>
      <c r="E109" s="13"/>
      <c r="F109" s="56"/>
      <c r="G109" s="56">
        <v>2296.71</v>
      </c>
      <c r="H109" s="140"/>
    </row>
    <row r="110" spans="1:8" ht="22.5" x14ac:dyDescent="0.25">
      <c r="A110" s="12"/>
      <c r="B110" s="12">
        <v>3232</v>
      </c>
      <c r="C110" s="13"/>
      <c r="D110" s="131" t="s">
        <v>183</v>
      </c>
      <c r="E110" s="13"/>
      <c r="F110" s="56"/>
      <c r="G110" s="56">
        <v>4750</v>
      </c>
      <c r="H110" s="140"/>
    </row>
    <row r="111" spans="1:8" x14ac:dyDescent="0.25">
      <c r="A111" s="12"/>
      <c r="B111" s="12">
        <v>3233</v>
      </c>
      <c r="C111" s="13"/>
      <c r="D111" s="131" t="s">
        <v>184</v>
      </c>
      <c r="E111" s="13"/>
      <c r="F111" s="56"/>
      <c r="G111" s="56">
        <v>248.85</v>
      </c>
      <c r="H111" s="140"/>
    </row>
    <row r="112" spans="1:8" x14ac:dyDescent="0.25">
      <c r="A112" s="12"/>
      <c r="B112" s="12">
        <v>3234</v>
      </c>
      <c r="C112" s="13"/>
      <c r="D112" s="131" t="s">
        <v>185</v>
      </c>
      <c r="E112" s="13"/>
      <c r="F112" s="56"/>
      <c r="G112" s="56">
        <v>8491.61</v>
      </c>
      <c r="H112" s="140"/>
    </row>
    <row r="113" spans="1:8" x14ac:dyDescent="0.25">
      <c r="A113" s="12"/>
      <c r="B113" s="12">
        <v>3237</v>
      </c>
      <c r="C113" s="13"/>
      <c r="D113" s="131" t="s">
        <v>186</v>
      </c>
      <c r="E113" s="13"/>
      <c r="F113" s="56"/>
      <c r="G113" s="56">
        <v>1708.4</v>
      </c>
      <c r="H113" s="140"/>
    </row>
    <row r="114" spans="1:8" x14ac:dyDescent="0.25">
      <c r="A114" s="12"/>
      <c r="B114" s="12">
        <v>3238</v>
      </c>
      <c r="C114" s="13"/>
      <c r="D114" s="131" t="s">
        <v>187</v>
      </c>
      <c r="E114" s="13"/>
      <c r="F114" s="56"/>
      <c r="G114" s="56">
        <v>2456.8000000000002</v>
      </c>
      <c r="H114" s="140"/>
    </row>
    <row r="115" spans="1:8" x14ac:dyDescent="0.25">
      <c r="A115" s="12"/>
      <c r="B115" s="12">
        <v>3239</v>
      </c>
      <c r="C115" s="13"/>
      <c r="D115" s="131" t="s">
        <v>188</v>
      </c>
      <c r="E115" s="13"/>
      <c r="F115" s="56"/>
      <c r="G115" s="56">
        <v>8576.7800000000007</v>
      </c>
      <c r="H115" s="140"/>
    </row>
    <row r="116" spans="1:8" ht="22.5" x14ac:dyDescent="0.25">
      <c r="A116" s="12"/>
      <c r="B116" s="25">
        <v>329</v>
      </c>
      <c r="C116" s="13"/>
      <c r="D116" s="131" t="s">
        <v>189</v>
      </c>
      <c r="E116" s="13"/>
      <c r="F116" s="56"/>
      <c r="G116" s="124">
        <f>SUM(G117:G120)</f>
        <v>4722.1400000000003</v>
      </c>
      <c r="H116" s="140"/>
    </row>
    <row r="117" spans="1:8" x14ac:dyDescent="0.25">
      <c r="A117" s="12"/>
      <c r="B117" s="12">
        <v>3292</v>
      </c>
      <c r="C117" s="13"/>
      <c r="D117" s="131" t="s">
        <v>190</v>
      </c>
      <c r="E117" s="13"/>
      <c r="F117" s="56"/>
      <c r="G117" s="56">
        <v>3291.53</v>
      </c>
      <c r="H117" s="140"/>
    </row>
    <row r="118" spans="1:8" x14ac:dyDescent="0.25">
      <c r="A118" s="12"/>
      <c r="B118" s="12">
        <v>3293</v>
      </c>
      <c r="C118" s="13"/>
      <c r="D118" s="131" t="s">
        <v>191</v>
      </c>
      <c r="E118" s="13"/>
      <c r="F118" s="56"/>
      <c r="G118" s="56">
        <v>111.46</v>
      </c>
      <c r="H118" s="140"/>
    </row>
    <row r="119" spans="1:8" x14ac:dyDescent="0.25">
      <c r="A119" s="12"/>
      <c r="B119" s="12">
        <v>3294</v>
      </c>
      <c r="C119" s="13"/>
      <c r="D119" s="131" t="s">
        <v>192</v>
      </c>
      <c r="E119" s="13"/>
      <c r="F119" s="56"/>
      <c r="G119" s="56">
        <v>106.18</v>
      </c>
      <c r="H119" s="140"/>
    </row>
    <row r="120" spans="1:8" ht="22.5" x14ac:dyDescent="0.25">
      <c r="A120" s="12"/>
      <c r="B120" s="12">
        <v>3299</v>
      </c>
      <c r="C120" s="13"/>
      <c r="D120" s="131" t="s">
        <v>189</v>
      </c>
      <c r="E120" s="13"/>
      <c r="F120" s="56"/>
      <c r="G120" s="56">
        <v>1212.97</v>
      </c>
      <c r="H120" s="140"/>
    </row>
    <row r="121" spans="1:8" s="123" customFormat="1" x14ac:dyDescent="0.25">
      <c r="A121" s="121"/>
      <c r="B121" s="121"/>
      <c r="C121" s="118">
        <v>31</v>
      </c>
      <c r="D121" s="118" t="s">
        <v>52</v>
      </c>
      <c r="E121" s="118"/>
      <c r="F121" s="122">
        <f>1221.04</f>
        <v>1221.04</v>
      </c>
      <c r="G121" s="122">
        <v>0</v>
      </c>
      <c r="H121" s="140">
        <f t="shared" ref="H121:H159" si="6">(G121/F121)*100</f>
        <v>0</v>
      </c>
    </row>
    <row r="122" spans="1:8" s="123" customFormat="1" x14ac:dyDescent="0.25">
      <c r="A122" s="121"/>
      <c r="B122" s="121"/>
      <c r="C122" s="118">
        <v>9231</v>
      </c>
      <c r="D122" s="118" t="s">
        <v>93</v>
      </c>
      <c r="E122" s="118"/>
      <c r="F122" s="122">
        <f>1761.42</f>
        <v>1761.42</v>
      </c>
      <c r="G122" s="122">
        <f>G123+G125+G127+G129+G131</f>
        <v>1621.98</v>
      </c>
      <c r="H122" s="140">
        <f t="shared" si="6"/>
        <v>92.08365977450012</v>
      </c>
    </row>
    <row r="123" spans="1:8" x14ac:dyDescent="0.25">
      <c r="A123" s="12"/>
      <c r="B123" s="25">
        <v>321</v>
      </c>
      <c r="C123" s="13"/>
      <c r="D123" s="131" t="s">
        <v>171</v>
      </c>
      <c r="E123" s="13"/>
      <c r="F123" s="56"/>
      <c r="G123" s="124">
        <f>G124</f>
        <v>128.52000000000001</v>
      </c>
      <c r="H123" s="140"/>
    </row>
    <row r="124" spans="1:8" x14ac:dyDescent="0.25">
      <c r="A124" s="12"/>
      <c r="B124" s="12">
        <v>3211</v>
      </c>
      <c r="C124" s="13"/>
      <c r="D124" s="131" t="s">
        <v>172</v>
      </c>
      <c r="E124" s="13"/>
      <c r="F124" s="56"/>
      <c r="G124" s="56">
        <v>128.52000000000001</v>
      </c>
      <c r="H124" s="140"/>
    </row>
    <row r="125" spans="1:8" x14ac:dyDescent="0.25">
      <c r="A125" s="12"/>
      <c r="B125" s="25">
        <v>322</v>
      </c>
      <c r="C125" s="13"/>
      <c r="D125" s="131" t="s">
        <v>176</v>
      </c>
      <c r="E125" s="13"/>
      <c r="F125" s="56"/>
      <c r="G125" s="124">
        <f>G126</f>
        <v>1008.52</v>
      </c>
      <c r="H125" s="140"/>
    </row>
    <row r="126" spans="1:8" ht="22.5" x14ac:dyDescent="0.25">
      <c r="A126" s="12"/>
      <c r="B126" s="12">
        <v>3221</v>
      </c>
      <c r="C126" s="13"/>
      <c r="D126" s="131" t="s">
        <v>177</v>
      </c>
      <c r="E126" s="13"/>
      <c r="F126" s="56"/>
      <c r="G126" s="56">
        <v>1008.52</v>
      </c>
      <c r="H126" s="140"/>
    </row>
    <row r="127" spans="1:8" x14ac:dyDescent="0.25">
      <c r="A127" s="12"/>
      <c r="B127" s="25">
        <v>323</v>
      </c>
      <c r="C127" s="13"/>
      <c r="D127" s="131" t="s">
        <v>181</v>
      </c>
      <c r="E127" s="13"/>
      <c r="F127" s="56"/>
      <c r="G127" s="124">
        <f>G128</f>
        <v>360.78</v>
      </c>
      <c r="H127" s="140"/>
    </row>
    <row r="128" spans="1:8" x14ac:dyDescent="0.25">
      <c r="A128" s="12"/>
      <c r="B128" s="12">
        <v>3239</v>
      </c>
      <c r="C128" s="13"/>
      <c r="D128" s="131" t="s">
        <v>188</v>
      </c>
      <c r="E128" s="13"/>
      <c r="F128" s="56"/>
      <c r="G128" s="56">
        <v>360.78</v>
      </c>
      <c r="H128" s="140"/>
    </row>
    <row r="129" spans="1:8" ht="22.5" x14ac:dyDescent="0.25">
      <c r="A129" s="12"/>
      <c r="B129" s="25">
        <v>324</v>
      </c>
      <c r="C129" s="13"/>
      <c r="D129" s="131" t="s">
        <v>193</v>
      </c>
      <c r="E129" s="13"/>
      <c r="F129" s="56"/>
      <c r="G129" s="124">
        <f>G130</f>
        <v>62.01</v>
      </c>
      <c r="H129" s="140"/>
    </row>
    <row r="130" spans="1:8" ht="22.5" x14ac:dyDescent="0.25">
      <c r="A130" s="12"/>
      <c r="B130" s="12">
        <v>3241</v>
      </c>
      <c r="C130" s="13"/>
      <c r="D130" s="131" t="s">
        <v>193</v>
      </c>
      <c r="E130" s="13"/>
      <c r="F130" s="56"/>
      <c r="G130" s="56">
        <v>62.01</v>
      </c>
      <c r="H130" s="140"/>
    </row>
    <row r="131" spans="1:8" ht="22.5" x14ac:dyDescent="0.25">
      <c r="A131" s="12"/>
      <c r="B131" s="25">
        <v>329</v>
      </c>
      <c r="C131" s="13"/>
      <c r="D131" s="131" t="s">
        <v>189</v>
      </c>
      <c r="E131" s="13"/>
      <c r="F131" s="56"/>
      <c r="G131" s="124">
        <f>SUM(G132:G134)</f>
        <v>62.15</v>
      </c>
      <c r="H131" s="140"/>
    </row>
    <row r="132" spans="1:8" x14ac:dyDescent="0.25">
      <c r="A132" s="12"/>
      <c r="B132" s="12">
        <v>3292</v>
      </c>
      <c r="C132" s="13"/>
      <c r="D132" s="131" t="s">
        <v>190</v>
      </c>
      <c r="E132" s="13"/>
      <c r="F132" s="56"/>
      <c r="G132" s="56">
        <v>19.32</v>
      </c>
      <c r="H132" s="140"/>
    </row>
    <row r="133" spans="1:8" x14ac:dyDescent="0.25">
      <c r="A133" s="12"/>
      <c r="B133" s="12">
        <v>3293</v>
      </c>
      <c r="C133" s="13"/>
      <c r="D133" s="131" t="s">
        <v>191</v>
      </c>
      <c r="E133" s="13"/>
      <c r="F133" s="56"/>
      <c r="G133" s="56">
        <v>15.83</v>
      </c>
      <c r="H133" s="140"/>
    </row>
    <row r="134" spans="1:8" ht="22.5" x14ac:dyDescent="0.25">
      <c r="A134" s="12"/>
      <c r="B134" s="12">
        <v>3299</v>
      </c>
      <c r="C134" s="13"/>
      <c r="D134" s="131" t="s">
        <v>189</v>
      </c>
      <c r="E134" s="13"/>
      <c r="F134" s="56"/>
      <c r="G134" s="56">
        <v>27</v>
      </c>
      <c r="H134" s="140"/>
    </row>
    <row r="135" spans="1:8" s="123" customFormat="1" x14ac:dyDescent="0.25">
      <c r="A135" s="121"/>
      <c r="B135" s="121"/>
      <c r="C135" s="118">
        <v>41</v>
      </c>
      <c r="D135" s="118" t="s">
        <v>50</v>
      </c>
      <c r="E135" s="118"/>
      <c r="F135" s="122">
        <f>74930.89</f>
        <v>74930.89</v>
      </c>
      <c r="G135" s="122">
        <f>G136+G138+G143+G147</f>
        <v>24609.719999999998</v>
      </c>
      <c r="H135" s="140">
        <f t="shared" si="6"/>
        <v>32.843223936082964</v>
      </c>
    </row>
    <row r="136" spans="1:8" x14ac:dyDescent="0.25">
      <c r="A136" s="12"/>
      <c r="B136" s="25">
        <v>321</v>
      </c>
      <c r="C136" s="13"/>
      <c r="D136" s="131" t="s">
        <v>171</v>
      </c>
      <c r="E136" s="13"/>
      <c r="F136" s="56"/>
      <c r="G136" s="124">
        <f>G137</f>
        <v>73</v>
      </c>
      <c r="H136" s="140"/>
    </row>
    <row r="137" spans="1:8" x14ac:dyDescent="0.25">
      <c r="A137" s="12"/>
      <c r="B137" s="12">
        <v>3213</v>
      </c>
      <c r="C137" s="13"/>
      <c r="D137" s="131" t="s">
        <v>174</v>
      </c>
      <c r="E137" s="13"/>
      <c r="F137" s="56"/>
      <c r="G137" s="56">
        <v>73</v>
      </c>
      <c r="H137" s="140"/>
    </row>
    <row r="138" spans="1:8" x14ac:dyDescent="0.25">
      <c r="A138" s="12"/>
      <c r="B138" s="25">
        <v>322</v>
      </c>
      <c r="C138" s="13"/>
      <c r="D138" s="131" t="s">
        <v>176</v>
      </c>
      <c r="E138" s="13"/>
      <c r="F138" s="56"/>
      <c r="G138" s="124">
        <f>SUM(G139:G142)</f>
        <v>22321.43</v>
      </c>
      <c r="H138" s="140"/>
    </row>
    <row r="139" spans="1:8" ht="22.5" x14ac:dyDescent="0.25">
      <c r="A139" s="12"/>
      <c r="B139" s="12">
        <v>3221</v>
      </c>
      <c r="C139" s="13"/>
      <c r="D139" s="131" t="s">
        <v>177</v>
      </c>
      <c r="E139" s="13"/>
      <c r="F139" s="56"/>
      <c r="G139" s="56">
        <v>1417.39</v>
      </c>
      <c r="H139" s="140"/>
    </row>
    <row r="140" spans="1:8" x14ac:dyDescent="0.25">
      <c r="A140" s="12"/>
      <c r="B140" s="12">
        <v>3222</v>
      </c>
      <c r="C140" s="13"/>
      <c r="D140" s="131" t="s">
        <v>178</v>
      </c>
      <c r="E140" s="13"/>
      <c r="F140" s="56"/>
      <c r="G140" s="56">
        <v>20207.73</v>
      </c>
      <c r="H140" s="140"/>
    </row>
    <row r="141" spans="1:8" x14ac:dyDescent="0.25">
      <c r="A141" s="12"/>
      <c r="B141" s="12">
        <v>3225</v>
      </c>
      <c r="C141" s="13"/>
      <c r="D141" s="131" t="s">
        <v>180</v>
      </c>
      <c r="E141" s="13"/>
      <c r="F141" s="56"/>
      <c r="G141" s="56">
        <v>417.08</v>
      </c>
      <c r="H141" s="140"/>
    </row>
    <row r="142" spans="1:8" ht="22.5" x14ac:dyDescent="0.25">
      <c r="A142" s="12"/>
      <c r="B142" s="12">
        <v>3227</v>
      </c>
      <c r="C142" s="13"/>
      <c r="D142" s="131" t="s">
        <v>194</v>
      </c>
      <c r="E142" s="13"/>
      <c r="F142" s="56"/>
      <c r="G142" s="56">
        <v>279.23</v>
      </c>
      <c r="H142" s="140"/>
    </row>
    <row r="143" spans="1:8" x14ac:dyDescent="0.25">
      <c r="A143" s="12"/>
      <c r="B143" s="25">
        <v>323</v>
      </c>
      <c r="C143" s="13"/>
      <c r="D143" s="131" t="s">
        <v>181</v>
      </c>
      <c r="E143" s="13"/>
      <c r="F143" s="56"/>
      <c r="G143" s="124">
        <f>SUM(G144:G146)</f>
        <v>2093.42</v>
      </c>
      <c r="H143" s="140"/>
    </row>
    <row r="144" spans="1:8" x14ac:dyDescent="0.25">
      <c r="A144" s="12"/>
      <c r="B144" s="12">
        <v>3234</v>
      </c>
      <c r="C144" s="13"/>
      <c r="D144" s="131" t="s">
        <v>185</v>
      </c>
      <c r="E144" s="13"/>
      <c r="F144" s="56"/>
      <c r="G144" s="56">
        <v>1736.32</v>
      </c>
      <c r="H144" s="140"/>
    </row>
    <row r="145" spans="1:8" x14ac:dyDescent="0.25">
      <c r="A145" s="12"/>
      <c r="B145" s="12">
        <v>3236</v>
      </c>
      <c r="C145" s="13"/>
      <c r="D145" s="132" t="s">
        <v>195</v>
      </c>
      <c r="E145" s="13"/>
      <c r="F145" s="56"/>
      <c r="G145" s="56">
        <v>155.68</v>
      </c>
      <c r="H145" s="140"/>
    </row>
    <row r="146" spans="1:8" x14ac:dyDescent="0.25">
      <c r="A146" s="12"/>
      <c r="B146" s="12">
        <v>3239</v>
      </c>
      <c r="C146" s="13"/>
      <c r="D146" s="131" t="s">
        <v>188</v>
      </c>
      <c r="E146" s="13"/>
      <c r="F146" s="56"/>
      <c r="G146" s="56">
        <v>201.42</v>
      </c>
      <c r="H146" s="140"/>
    </row>
    <row r="147" spans="1:8" ht="22.5" x14ac:dyDescent="0.25">
      <c r="A147" s="12"/>
      <c r="B147" s="25">
        <v>329</v>
      </c>
      <c r="C147" s="13"/>
      <c r="D147" s="131" t="s">
        <v>189</v>
      </c>
      <c r="E147" s="13"/>
      <c r="F147" s="56"/>
      <c r="G147" s="124">
        <f>G148</f>
        <v>121.87</v>
      </c>
      <c r="H147" s="140"/>
    </row>
    <row r="148" spans="1:8" ht="22.5" x14ac:dyDescent="0.25">
      <c r="A148" s="12"/>
      <c r="B148" s="12">
        <v>3291</v>
      </c>
      <c r="C148" s="13"/>
      <c r="D148" s="131" t="s">
        <v>196</v>
      </c>
      <c r="E148" s="13"/>
      <c r="F148" s="56"/>
      <c r="G148" s="56">
        <v>121.87</v>
      </c>
      <c r="H148" s="140"/>
    </row>
    <row r="149" spans="1:8" s="123" customFormat="1" x14ac:dyDescent="0.25">
      <c r="A149" s="121"/>
      <c r="B149" s="121"/>
      <c r="C149" s="118">
        <v>9241</v>
      </c>
      <c r="D149" s="125" t="s">
        <v>95</v>
      </c>
      <c r="E149" s="125"/>
      <c r="F149" s="122"/>
      <c r="G149" s="122"/>
      <c r="H149" s="140"/>
    </row>
    <row r="150" spans="1:8" s="123" customFormat="1" x14ac:dyDescent="0.25">
      <c r="A150" s="121"/>
      <c r="B150" s="121"/>
      <c r="C150" s="118">
        <v>92530</v>
      </c>
      <c r="D150" s="118" t="s">
        <v>97</v>
      </c>
      <c r="E150" s="118"/>
      <c r="F150" s="122">
        <v>1044.55</v>
      </c>
      <c r="G150" s="122">
        <f>G151</f>
        <v>573.36</v>
      </c>
      <c r="H150" s="140">
        <f t="shared" si="6"/>
        <v>54.890622756210817</v>
      </c>
    </row>
    <row r="151" spans="1:8" x14ac:dyDescent="0.25">
      <c r="A151" s="12"/>
      <c r="B151" s="25">
        <v>321</v>
      </c>
      <c r="C151" s="13"/>
      <c r="D151" s="131" t="s">
        <v>171</v>
      </c>
      <c r="E151" s="13"/>
      <c r="F151" s="56"/>
      <c r="G151" s="124">
        <f>G152</f>
        <v>573.36</v>
      </c>
      <c r="H151" s="140"/>
    </row>
    <row r="152" spans="1:8" ht="22.5" x14ac:dyDescent="0.25">
      <c r="A152" s="12"/>
      <c r="B152" s="12">
        <v>3212</v>
      </c>
      <c r="C152" s="13"/>
      <c r="D152" s="131" t="s">
        <v>173</v>
      </c>
      <c r="E152" s="13"/>
      <c r="F152" s="56"/>
      <c r="G152" s="56">
        <v>573.36</v>
      </c>
      <c r="H152" s="140"/>
    </row>
    <row r="153" spans="1:8" s="123" customFormat="1" x14ac:dyDescent="0.25">
      <c r="A153" s="121"/>
      <c r="B153" s="121"/>
      <c r="C153" s="118">
        <v>5402</v>
      </c>
      <c r="D153" s="118" t="s">
        <v>56</v>
      </c>
      <c r="E153" s="118"/>
      <c r="F153" s="122">
        <f>24725.62+6281.56</f>
        <v>31007.18</v>
      </c>
      <c r="G153" s="122">
        <f>G156+G154</f>
        <v>10081.56</v>
      </c>
      <c r="H153" s="140">
        <f t="shared" si="6"/>
        <v>32.513630713918516</v>
      </c>
    </row>
    <row r="154" spans="1:8" s="123" customFormat="1" x14ac:dyDescent="0.25">
      <c r="A154" s="121"/>
      <c r="B154" s="25">
        <v>321</v>
      </c>
      <c r="C154" s="118"/>
      <c r="D154" s="131" t="s">
        <v>171</v>
      </c>
      <c r="E154" s="118"/>
      <c r="F154" s="122"/>
      <c r="G154" s="214">
        <f>G155</f>
        <v>4000</v>
      </c>
      <c r="H154" s="140"/>
    </row>
    <row r="155" spans="1:8" s="123" customFormat="1" ht="22.5" x14ac:dyDescent="0.25">
      <c r="A155" s="121"/>
      <c r="B155" s="12">
        <v>3212</v>
      </c>
      <c r="C155" s="118"/>
      <c r="D155" s="131" t="s">
        <v>173</v>
      </c>
      <c r="E155" s="118"/>
      <c r="F155" s="122"/>
      <c r="G155" s="213">
        <v>4000</v>
      </c>
      <c r="H155" s="140"/>
    </row>
    <row r="156" spans="1:8" x14ac:dyDescent="0.25">
      <c r="A156" s="12"/>
      <c r="B156" s="25">
        <v>322</v>
      </c>
      <c r="C156" s="13"/>
      <c r="D156" s="131" t="s">
        <v>176</v>
      </c>
      <c r="E156" s="13"/>
      <c r="F156" s="56"/>
      <c r="G156" s="124">
        <f>G157</f>
        <v>6081.5599999999995</v>
      </c>
      <c r="H156" s="140"/>
    </row>
    <row r="157" spans="1:8" x14ac:dyDescent="0.25">
      <c r="A157" s="12"/>
      <c r="B157" s="12">
        <v>3222</v>
      </c>
      <c r="C157" s="13"/>
      <c r="D157" s="131" t="s">
        <v>178</v>
      </c>
      <c r="E157" s="13"/>
      <c r="F157" s="56"/>
      <c r="G157" s="56">
        <f>11.21+3922.24+2148.11</f>
        <v>6081.5599999999995</v>
      </c>
      <c r="H157" s="140"/>
    </row>
    <row r="158" spans="1:8" s="123" customFormat="1" x14ac:dyDescent="0.25">
      <c r="A158" s="121"/>
      <c r="B158" s="121"/>
      <c r="C158" s="118">
        <v>925401</v>
      </c>
      <c r="D158" s="118" t="s">
        <v>132</v>
      </c>
      <c r="E158" s="118"/>
      <c r="F158" s="122">
        <v>4718.59</v>
      </c>
      <c r="G158" s="122">
        <v>0</v>
      </c>
      <c r="H158" s="140">
        <f t="shared" si="6"/>
        <v>0</v>
      </c>
    </row>
    <row r="159" spans="1:8" s="123" customFormat="1" x14ac:dyDescent="0.25">
      <c r="A159" s="121"/>
      <c r="B159" s="121"/>
      <c r="C159" s="118">
        <v>57</v>
      </c>
      <c r="D159" s="118" t="s">
        <v>51</v>
      </c>
      <c r="E159" s="118"/>
      <c r="F159" s="122">
        <f>61286.49+238636.56+4681.54+1258.21</f>
        <v>305862.8</v>
      </c>
      <c r="G159" s="122">
        <f>G160+G163+G166+G169</f>
        <v>171423.08000000002</v>
      </c>
      <c r="H159" s="140">
        <f t="shared" si="6"/>
        <v>56.045743385596424</v>
      </c>
    </row>
    <row r="160" spans="1:8" x14ac:dyDescent="0.25">
      <c r="A160" s="12"/>
      <c r="B160" s="25">
        <v>321</v>
      </c>
      <c r="C160" s="13"/>
      <c r="D160" s="131" t="s">
        <v>171</v>
      </c>
      <c r="E160" s="13"/>
      <c r="F160" s="56"/>
      <c r="G160" s="124">
        <f>G161+G162</f>
        <v>22890.170000000002</v>
      </c>
      <c r="H160" s="140"/>
    </row>
    <row r="161" spans="1:8" x14ac:dyDescent="0.25">
      <c r="A161" s="12"/>
      <c r="B161" s="12">
        <v>3211</v>
      </c>
      <c r="C161" s="13"/>
      <c r="D161" s="131" t="s">
        <v>172</v>
      </c>
      <c r="E161" s="13"/>
      <c r="F161" s="56"/>
      <c r="G161" s="56">
        <v>148.46</v>
      </c>
      <c r="H161" s="140"/>
    </row>
    <row r="162" spans="1:8" ht="22.5" x14ac:dyDescent="0.25">
      <c r="A162" s="12"/>
      <c r="B162" s="12">
        <v>3212</v>
      </c>
      <c r="C162" s="13"/>
      <c r="D162" s="131" t="s">
        <v>173</v>
      </c>
      <c r="E162" s="13"/>
      <c r="F162" s="56"/>
      <c r="G162" s="56">
        <f>21955.49+786.22</f>
        <v>22741.710000000003</v>
      </c>
      <c r="H162" s="140"/>
    </row>
    <row r="163" spans="1:8" x14ac:dyDescent="0.25">
      <c r="A163" s="12"/>
      <c r="B163" s="25">
        <v>322</v>
      </c>
      <c r="C163" s="13"/>
      <c r="D163" s="131" t="s">
        <v>176</v>
      </c>
      <c r="E163" s="13"/>
      <c r="F163" s="56"/>
      <c r="G163" s="124">
        <f>G164+G165</f>
        <v>473.88</v>
      </c>
      <c r="H163" s="140"/>
    </row>
    <row r="164" spans="1:8" ht="22.5" x14ac:dyDescent="0.25">
      <c r="A164" s="12"/>
      <c r="B164" s="12">
        <v>3221</v>
      </c>
      <c r="C164" s="13"/>
      <c r="D164" s="131" t="s">
        <v>177</v>
      </c>
      <c r="E164" s="13"/>
      <c r="F164" s="56"/>
      <c r="G164" s="56">
        <v>134.41</v>
      </c>
      <c r="H164" s="140"/>
    </row>
    <row r="165" spans="1:8" x14ac:dyDescent="0.25">
      <c r="A165" s="12"/>
      <c r="B165" s="12">
        <v>3222</v>
      </c>
      <c r="C165" s="13"/>
      <c r="D165" s="131" t="s">
        <v>178</v>
      </c>
      <c r="E165" s="13"/>
      <c r="F165" s="56"/>
      <c r="G165" s="56">
        <v>339.47</v>
      </c>
      <c r="H165" s="140"/>
    </row>
    <row r="166" spans="1:8" x14ac:dyDescent="0.25">
      <c r="A166" s="12"/>
      <c r="B166" s="25">
        <v>323</v>
      </c>
      <c r="C166" s="13"/>
      <c r="D166" s="131" t="s">
        <v>181</v>
      </c>
      <c r="E166" s="13"/>
      <c r="F166" s="56"/>
      <c r="G166" s="124">
        <f>G167+G168</f>
        <v>143904.46</v>
      </c>
      <c r="H166" s="140"/>
    </row>
    <row r="167" spans="1:8" x14ac:dyDescent="0.25">
      <c r="A167" s="12"/>
      <c r="B167" s="12">
        <v>3237</v>
      </c>
      <c r="C167" s="13"/>
      <c r="D167" s="131" t="s">
        <v>186</v>
      </c>
      <c r="E167" s="13"/>
      <c r="F167" s="56"/>
      <c r="G167" s="56">
        <v>667.27</v>
      </c>
      <c r="H167" s="140"/>
    </row>
    <row r="168" spans="1:8" x14ac:dyDescent="0.25">
      <c r="A168" s="12"/>
      <c r="B168" s="12">
        <v>3239</v>
      </c>
      <c r="C168" s="13"/>
      <c r="D168" s="131" t="s">
        <v>188</v>
      </c>
      <c r="E168" s="13"/>
      <c r="F168" s="56"/>
      <c r="G168" s="56">
        <v>143237.19</v>
      </c>
      <c r="H168" s="140"/>
    </row>
    <row r="169" spans="1:8" ht="22.5" x14ac:dyDescent="0.25">
      <c r="A169" s="12"/>
      <c r="B169" s="25">
        <v>329</v>
      </c>
      <c r="C169" s="13"/>
      <c r="D169" s="131" t="s">
        <v>189</v>
      </c>
      <c r="E169" s="13"/>
      <c r="F169" s="56"/>
      <c r="G169" s="124">
        <f>SUM(G170:G173)</f>
        <v>4154.57</v>
      </c>
      <c r="H169" s="140"/>
    </row>
    <row r="170" spans="1:8" ht="22.5" x14ac:dyDescent="0.25">
      <c r="A170" s="12"/>
      <c r="B170" s="12">
        <v>3291</v>
      </c>
      <c r="C170" s="13"/>
      <c r="D170" s="131" t="s">
        <v>196</v>
      </c>
      <c r="E170" s="13"/>
      <c r="F170" s="56"/>
      <c r="G170" s="56">
        <v>472.17</v>
      </c>
      <c r="H170" s="140"/>
    </row>
    <row r="171" spans="1:8" x14ac:dyDescent="0.25">
      <c r="A171" s="12"/>
      <c r="B171" s="12">
        <v>3293</v>
      </c>
      <c r="C171" s="13"/>
      <c r="D171" s="131" t="s">
        <v>191</v>
      </c>
      <c r="E171" s="13"/>
      <c r="F171" s="56"/>
      <c r="G171" s="56">
        <v>40.24</v>
      </c>
      <c r="H171" s="140"/>
    </row>
    <row r="172" spans="1:8" x14ac:dyDescent="0.25">
      <c r="A172" s="12"/>
      <c r="B172" s="12">
        <v>3295</v>
      </c>
      <c r="C172" s="13"/>
      <c r="D172" s="132" t="s">
        <v>197</v>
      </c>
      <c r="E172" s="13"/>
      <c r="F172" s="56"/>
      <c r="G172" s="56">
        <v>3297.71</v>
      </c>
      <c r="H172" s="140"/>
    </row>
    <row r="173" spans="1:8" ht="22.5" x14ac:dyDescent="0.25">
      <c r="A173" s="12"/>
      <c r="B173" s="12">
        <v>3299</v>
      </c>
      <c r="C173" s="13"/>
      <c r="D173" s="131" t="s">
        <v>189</v>
      </c>
      <c r="E173" s="13"/>
      <c r="F173" s="56"/>
      <c r="G173" s="56">
        <v>344.45</v>
      </c>
      <c r="H173" s="140"/>
    </row>
    <row r="174" spans="1:8" s="123" customFormat="1" x14ac:dyDescent="0.25">
      <c r="A174" s="121"/>
      <c r="B174" s="121"/>
      <c r="C174" s="118">
        <v>9257</v>
      </c>
      <c r="D174" s="118" t="s">
        <v>96</v>
      </c>
      <c r="E174" s="118"/>
      <c r="F174" s="122">
        <v>663.61</v>
      </c>
      <c r="G174" s="122">
        <v>0</v>
      </c>
      <c r="H174" s="140">
        <f t="shared" ref="H174:H178" si="7">(G174/F174)*100</f>
        <v>0</v>
      </c>
    </row>
    <row r="175" spans="1:8" s="123" customFormat="1" x14ac:dyDescent="0.25">
      <c r="A175" s="121"/>
      <c r="B175" s="121"/>
      <c r="C175" s="118">
        <v>6103</v>
      </c>
      <c r="D175" s="118" t="s">
        <v>53</v>
      </c>
      <c r="E175" s="118"/>
      <c r="F175" s="122">
        <v>1116.07</v>
      </c>
      <c r="G175" s="122">
        <f>G176</f>
        <v>197.5</v>
      </c>
      <c r="H175" s="140">
        <f t="shared" si="7"/>
        <v>17.696022650908994</v>
      </c>
    </row>
    <row r="176" spans="1:8" x14ac:dyDescent="0.25">
      <c r="A176" s="12"/>
      <c r="B176" s="25">
        <v>321</v>
      </c>
      <c r="C176" s="13"/>
      <c r="D176" s="131" t="s">
        <v>171</v>
      </c>
      <c r="E176" s="13"/>
      <c r="F176" s="56"/>
      <c r="G176" s="124">
        <f>G177</f>
        <v>197.5</v>
      </c>
      <c r="H176" s="140"/>
    </row>
    <row r="177" spans="1:8" x14ac:dyDescent="0.25">
      <c r="A177" s="12"/>
      <c r="B177" s="12">
        <v>3211</v>
      </c>
      <c r="C177" s="13"/>
      <c r="D177" s="131" t="s">
        <v>172</v>
      </c>
      <c r="E177" s="13"/>
      <c r="F177" s="56"/>
      <c r="G177" s="56">
        <v>197.5</v>
      </c>
      <c r="H177" s="140"/>
    </row>
    <row r="178" spans="1:8" s="123" customFormat="1" x14ac:dyDescent="0.25">
      <c r="A178" s="121"/>
      <c r="B178" s="121"/>
      <c r="C178" s="118">
        <v>926103</v>
      </c>
      <c r="D178" s="118" t="s">
        <v>98</v>
      </c>
      <c r="E178" s="118"/>
      <c r="F178" s="122">
        <v>212.36</v>
      </c>
      <c r="G178" s="122">
        <v>0</v>
      </c>
      <c r="H178" s="140">
        <f t="shared" si="7"/>
        <v>0</v>
      </c>
    </row>
    <row r="179" spans="1:8" x14ac:dyDescent="0.25">
      <c r="A179" s="40"/>
      <c r="B179" s="40">
        <v>34</v>
      </c>
      <c r="C179" s="41"/>
      <c r="D179" s="40" t="s">
        <v>43</v>
      </c>
      <c r="E179" s="40"/>
      <c r="F179" s="59">
        <f t="shared" ref="F179" si="8">SUM(F180:F186)</f>
        <v>1062.69</v>
      </c>
      <c r="G179" s="59">
        <f>G180+G184+G185+G186</f>
        <v>496.93</v>
      </c>
      <c r="H179" s="137">
        <f>(G179/F179)*100</f>
        <v>46.761520292841745</v>
      </c>
    </row>
    <row r="180" spans="1:8" s="123" customFormat="1" x14ac:dyDescent="0.25">
      <c r="A180" s="126"/>
      <c r="B180" s="126"/>
      <c r="C180" s="118">
        <v>11</v>
      </c>
      <c r="D180" s="118" t="s">
        <v>17</v>
      </c>
      <c r="E180" s="118"/>
      <c r="F180" s="127">
        <f>703.43</f>
        <v>703.43</v>
      </c>
      <c r="G180" s="127">
        <f>G181</f>
        <v>496.93</v>
      </c>
      <c r="H180" s="147">
        <f>(G180/F180)*100</f>
        <v>70.643845158722257</v>
      </c>
    </row>
    <row r="181" spans="1:8" x14ac:dyDescent="0.25">
      <c r="A181" s="44"/>
      <c r="B181" s="130">
        <v>343</v>
      </c>
      <c r="C181" s="13"/>
      <c r="D181" s="132" t="s">
        <v>198</v>
      </c>
      <c r="E181" s="13"/>
      <c r="F181" s="61"/>
      <c r="G181" s="84">
        <f>G182+G183</f>
        <v>496.93</v>
      </c>
      <c r="H181" s="147"/>
    </row>
    <row r="182" spans="1:8" ht="22.5" x14ac:dyDescent="0.25">
      <c r="A182" s="44"/>
      <c r="B182" s="44">
        <v>3431</v>
      </c>
      <c r="C182" s="13"/>
      <c r="D182" s="131" t="s">
        <v>199</v>
      </c>
      <c r="E182" s="13"/>
      <c r="F182" s="61"/>
      <c r="G182" s="61">
        <v>458.88</v>
      </c>
      <c r="H182" s="147"/>
    </row>
    <row r="183" spans="1:8" x14ac:dyDescent="0.25">
      <c r="A183" s="44"/>
      <c r="B183" s="44">
        <v>3433</v>
      </c>
      <c r="C183" s="13"/>
      <c r="D183" s="132" t="s">
        <v>200</v>
      </c>
      <c r="E183" s="13"/>
      <c r="F183" s="61"/>
      <c r="G183" s="61">
        <v>38.049999999999997</v>
      </c>
      <c r="H183" s="147"/>
    </row>
    <row r="184" spans="1:8" s="123" customFormat="1" x14ac:dyDescent="0.25">
      <c r="A184" s="126"/>
      <c r="B184" s="126"/>
      <c r="C184" s="118">
        <v>31</v>
      </c>
      <c r="D184" s="118" t="s">
        <v>52</v>
      </c>
      <c r="E184" s="118"/>
      <c r="F184" s="127">
        <v>159.26</v>
      </c>
      <c r="G184" s="127">
        <v>0</v>
      </c>
      <c r="H184" s="147">
        <f t="shared" ref="H184:H186" si="9">(G184/F184)*100</f>
        <v>0</v>
      </c>
    </row>
    <row r="185" spans="1:8" s="123" customFormat="1" x14ac:dyDescent="0.25">
      <c r="A185" s="126"/>
      <c r="B185" s="126"/>
      <c r="C185" s="118">
        <v>9231</v>
      </c>
      <c r="D185" s="118" t="s">
        <v>93</v>
      </c>
      <c r="E185" s="118"/>
      <c r="F185" s="127"/>
      <c r="G185" s="127"/>
      <c r="H185" s="147"/>
    </row>
    <row r="186" spans="1:8" s="123" customFormat="1" x14ac:dyDescent="0.25">
      <c r="A186" s="121"/>
      <c r="B186" s="121"/>
      <c r="C186" s="118">
        <v>41</v>
      </c>
      <c r="D186" s="118" t="s">
        <v>50</v>
      </c>
      <c r="E186" s="118"/>
      <c r="F186" s="122">
        <v>200</v>
      </c>
      <c r="G186" s="122">
        <v>0</v>
      </c>
      <c r="H186" s="147">
        <f t="shared" si="9"/>
        <v>0</v>
      </c>
    </row>
    <row r="187" spans="1:8" ht="25.5" x14ac:dyDescent="0.25">
      <c r="A187" s="40"/>
      <c r="B187" s="40">
        <v>37</v>
      </c>
      <c r="C187" s="41"/>
      <c r="D187" s="42" t="s">
        <v>44</v>
      </c>
      <c r="E187" s="42"/>
      <c r="F187" s="59">
        <f>SUM(F188:F196)</f>
        <v>133438.53</v>
      </c>
      <c r="G187" s="59">
        <f>G188+G189+G190+G191+G192+G196</f>
        <v>1096.3699999999999</v>
      </c>
      <c r="H187" s="137">
        <f>(G187/F187)*100</f>
        <v>0.82162925505849027</v>
      </c>
    </row>
    <row r="188" spans="1:8" s="123" customFormat="1" x14ac:dyDescent="0.25">
      <c r="A188" s="121"/>
      <c r="B188" s="121"/>
      <c r="C188" s="118">
        <v>11</v>
      </c>
      <c r="D188" s="118" t="s">
        <v>17</v>
      </c>
      <c r="E188" s="118"/>
      <c r="F188" s="122">
        <f>53.1+58000</f>
        <v>58053.1</v>
      </c>
      <c r="G188" s="122">
        <v>0</v>
      </c>
      <c r="H188" s="140">
        <f>(G188/F188)*100</f>
        <v>0</v>
      </c>
    </row>
    <row r="189" spans="1:8" s="123" customFormat="1" x14ac:dyDescent="0.25">
      <c r="A189" s="121"/>
      <c r="B189" s="121"/>
      <c r="C189" s="118">
        <v>31</v>
      </c>
      <c r="D189" s="118" t="s">
        <v>52</v>
      </c>
      <c r="E189" s="118"/>
      <c r="F189" s="122">
        <f>39.82</f>
        <v>39.82</v>
      </c>
      <c r="G189" s="122">
        <v>0</v>
      </c>
      <c r="H189" s="140">
        <f t="shared" ref="H189:H192" si="10">(G189/F189)*100</f>
        <v>0</v>
      </c>
    </row>
    <row r="190" spans="1:8" s="123" customFormat="1" x14ac:dyDescent="0.25">
      <c r="A190" s="121"/>
      <c r="B190" s="121"/>
      <c r="C190" s="118">
        <v>9231</v>
      </c>
      <c r="D190" s="118" t="s">
        <v>93</v>
      </c>
      <c r="E190" s="118"/>
      <c r="F190" s="122">
        <v>30</v>
      </c>
      <c r="G190" s="122">
        <v>0</v>
      </c>
      <c r="H190" s="140">
        <f t="shared" si="10"/>
        <v>0</v>
      </c>
    </row>
    <row r="191" spans="1:8" s="123" customFormat="1" x14ac:dyDescent="0.25">
      <c r="A191" s="121"/>
      <c r="B191" s="121"/>
      <c r="C191" s="118">
        <v>41</v>
      </c>
      <c r="D191" s="118" t="s">
        <v>50</v>
      </c>
      <c r="E191" s="118"/>
      <c r="F191" s="122">
        <f>1123.56</f>
        <v>1123.56</v>
      </c>
      <c r="G191" s="122">
        <v>0</v>
      </c>
      <c r="H191" s="140">
        <f t="shared" si="10"/>
        <v>0</v>
      </c>
    </row>
    <row r="192" spans="1:8" s="123" customFormat="1" x14ac:dyDescent="0.25">
      <c r="A192" s="121"/>
      <c r="B192" s="121"/>
      <c r="C192" s="118">
        <v>57</v>
      </c>
      <c r="D192" s="118" t="s">
        <v>51</v>
      </c>
      <c r="E192" s="118"/>
      <c r="F192" s="122">
        <v>74192.05</v>
      </c>
      <c r="G192" s="122">
        <f>G193</f>
        <v>1096.3699999999999</v>
      </c>
      <c r="H192" s="140">
        <f t="shared" si="10"/>
        <v>1.4777459309993455</v>
      </c>
    </row>
    <row r="193" spans="1:8" ht="22.5" x14ac:dyDescent="0.25">
      <c r="A193" s="12"/>
      <c r="B193" s="25">
        <v>372</v>
      </c>
      <c r="C193" s="13"/>
      <c r="D193" s="131" t="s">
        <v>201</v>
      </c>
      <c r="E193" s="13"/>
      <c r="F193" s="56"/>
      <c r="G193" s="124">
        <f>G194+G195</f>
        <v>1096.3699999999999</v>
      </c>
      <c r="H193" s="139"/>
    </row>
    <row r="194" spans="1:8" ht="22.5" x14ac:dyDescent="0.25">
      <c r="A194" s="12"/>
      <c r="B194" s="12">
        <v>3721</v>
      </c>
      <c r="C194" s="13"/>
      <c r="D194" s="131" t="s">
        <v>202</v>
      </c>
      <c r="E194" s="13"/>
      <c r="F194" s="56"/>
      <c r="G194" s="56">
        <v>987.51</v>
      </c>
      <c r="H194" s="139"/>
    </row>
    <row r="195" spans="1:8" ht="22.5" x14ac:dyDescent="0.25">
      <c r="A195" s="12"/>
      <c r="B195" s="12">
        <v>3722</v>
      </c>
      <c r="C195" s="13"/>
      <c r="D195" s="131" t="s">
        <v>203</v>
      </c>
      <c r="E195" s="13"/>
      <c r="F195" s="56"/>
      <c r="G195" s="56">
        <v>108.86</v>
      </c>
      <c r="H195" s="139"/>
    </row>
    <row r="196" spans="1:8" s="123" customFormat="1" x14ac:dyDescent="0.25">
      <c r="A196" s="121"/>
      <c r="B196" s="128"/>
      <c r="C196" s="118">
        <v>9257</v>
      </c>
      <c r="D196" s="118" t="s">
        <v>96</v>
      </c>
      <c r="E196" s="118"/>
      <c r="F196" s="122"/>
      <c r="G196" s="122"/>
      <c r="H196" s="140"/>
    </row>
    <row r="197" spans="1:8" x14ac:dyDescent="0.25">
      <c r="A197" s="40"/>
      <c r="B197" s="40">
        <v>38</v>
      </c>
      <c r="C197" s="41"/>
      <c r="D197" s="42" t="s">
        <v>129</v>
      </c>
      <c r="E197" s="42"/>
      <c r="F197" s="59">
        <f>F198</f>
        <v>2423.9499999999998</v>
      </c>
      <c r="G197" s="59">
        <f>G198</f>
        <v>0</v>
      </c>
      <c r="H197" s="137">
        <f>H198</f>
        <v>0</v>
      </c>
    </row>
    <row r="198" spans="1:8" s="123" customFormat="1" x14ac:dyDescent="0.25">
      <c r="A198" s="121"/>
      <c r="B198" s="128"/>
      <c r="C198" s="118">
        <v>57</v>
      </c>
      <c r="D198" s="118" t="s">
        <v>51</v>
      </c>
      <c r="E198" s="118"/>
      <c r="F198" s="122">
        <v>2423.9499999999998</v>
      </c>
      <c r="G198" s="122">
        <v>0</v>
      </c>
      <c r="H198" s="140">
        <f t="shared" ref="H198" si="11">(G198/F198)*100</f>
        <v>0</v>
      </c>
    </row>
    <row r="199" spans="1:8" ht="25.5" x14ac:dyDescent="0.25">
      <c r="A199" s="47">
        <v>4</v>
      </c>
      <c r="B199" s="48"/>
      <c r="C199" s="48"/>
      <c r="D199" s="49" t="s">
        <v>21</v>
      </c>
      <c r="E199" s="49"/>
      <c r="F199" s="62">
        <f>F200+F219</f>
        <v>84693.76999999999</v>
      </c>
      <c r="G199" s="62">
        <f>G200+G219</f>
        <v>8769.2900000000009</v>
      </c>
      <c r="H199" s="145"/>
    </row>
    <row r="200" spans="1:8" ht="25.5" x14ac:dyDescent="0.25">
      <c r="A200" s="39"/>
      <c r="B200" s="39">
        <v>42</v>
      </c>
      <c r="C200" s="39"/>
      <c r="D200" s="43" t="s">
        <v>37</v>
      </c>
      <c r="E200" s="43"/>
      <c r="F200" s="59">
        <f>SUM(F201:F216)</f>
        <v>44693.77</v>
      </c>
      <c r="G200" s="59">
        <f>G201+G202+G203+G206+G209+G213+G216</f>
        <v>8394.2900000000009</v>
      </c>
      <c r="H200" s="137">
        <f>(G200/F200)*100</f>
        <v>18.781789945220556</v>
      </c>
    </row>
    <row r="201" spans="1:8" s="123" customFormat="1" x14ac:dyDescent="0.25">
      <c r="A201" s="129"/>
      <c r="B201" s="129"/>
      <c r="C201" s="118">
        <v>11</v>
      </c>
      <c r="D201" s="118" t="s">
        <v>17</v>
      </c>
      <c r="E201" s="118"/>
      <c r="F201" s="122">
        <v>5043.47</v>
      </c>
      <c r="G201" s="122">
        <v>0</v>
      </c>
      <c r="H201" s="140">
        <f t="shared" ref="H201:H216" si="12">(G201/F201)*100</f>
        <v>0</v>
      </c>
    </row>
    <row r="202" spans="1:8" s="123" customFormat="1" x14ac:dyDescent="0.25">
      <c r="A202" s="129"/>
      <c r="B202" s="129"/>
      <c r="C202" s="118">
        <v>31</v>
      </c>
      <c r="D202" s="118" t="s">
        <v>52</v>
      </c>
      <c r="E202" s="118"/>
      <c r="F202" s="122">
        <v>1924.49</v>
      </c>
      <c r="G202" s="122">
        <v>0</v>
      </c>
      <c r="H202" s="140">
        <f t="shared" si="12"/>
        <v>0</v>
      </c>
    </row>
    <row r="203" spans="1:8" s="123" customFormat="1" x14ac:dyDescent="0.25">
      <c r="A203" s="129"/>
      <c r="B203" s="129"/>
      <c r="C203" s="118">
        <v>9231</v>
      </c>
      <c r="D203" s="118" t="s">
        <v>93</v>
      </c>
      <c r="E203" s="118"/>
      <c r="F203" s="122">
        <v>1561.7</v>
      </c>
      <c r="G203" s="122">
        <f>G204</f>
        <v>1388</v>
      </c>
      <c r="H203" s="140">
        <f t="shared" si="12"/>
        <v>88.877505282704732</v>
      </c>
    </row>
    <row r="204" spans="1:8" x14ac:dyDescent="0.25">
      <c r="A204" s="14"/>
      <c r="B204" s="11">
        <v>422</v>
      </c>
      <c r="C204" s="13"/>
      <c r="D204" s="132" t="s">
        <v>204</v>
      </c>
      <c r="E204" s="13"/>
      <c r="F204" s="56"/>
      <c r="G204" s="124">
        <f>G205</f>
        <v>1388</v>
      </c>
      <c r="H204" s="140"/>
    </row>
    <row r="205" spans="1:8" x14ac:dyDescent="0.25">
      <c r="A205" s="14"/>
      <c r="B205" s="14">
        <v>4221</v>
      </c>
      <c r="C205" s="13"/>
      <c r="D205" s="132" t="s">
        <v>205</v>
      </c>
      <c r="E205" s="13"/>
      <c r="F205" s="56"/>
      <c r="G205" s="56">
        <f>350+1038</f>
        <v>1388</v>
      </c>
      <c r="H205" s="140"/>
    </row>
    <row r="206" spans="1:8" s="123" customFormat="1" x14ac:dyDescent="0.25">
      <c r="A206" s="129"/>
      <c r="B206" s="129"/>
      <c r="C206" s="118">
        <v>41</v>
      </c>
      <c r="D206" s="118" t="s">
        <v>50</v>
      </c>
      <c r="E206" s="118"/>
      <c r="F206" s="122">
        <v>13400</v>
      </c>
      <c r="G206" s="122">
        <f>G207</f>
        <v>126.07</v>
      </c>
      <c r="H206" s="140">
        <f t="shared" si="12"/>
        <v>0.94082089552238801</v>
      </c>
    </row>
    <row r="207" spans="1:8" x14ac:dyDescent="0.25">
      <c r="A207" s="14"/>
      <c r="B207" s="11">
        <v>422</v>
      </c>
      <c r="C207" s="13"/>
      <c r="D207" s="132" t="s">
        <v>204</v>
      </c>
      <c r="E207" s="13"/>
      <c r="F207" s="56"/>
      <c r="G207" s="124">
        <f>G208</f>
        <v>126.07</v>
      </c>
      <c r="H207" s="140"/>
    </row>
    <row r="208" spans="1:8" x14ac:dyDescent="0.25">
      <c r="A208" s="14"/>
      <c r="B208" s="14">
        <v>4221</v>
      </c>
      <c r="C208" s="13"/>
      <c r="D208" s="132" t="s">
        <v>205</v>
      </c>
      <c r="E208" s="13"/>
      <c r="F208" s="56"/>
      <c r="G208" s="56">
        <v>126.07</v>
      </c>
      <c r="H208" s="140"/>
    </row>
    <row r="209" spans="1:8" s="123" customFormat="1" x14ac:dyDescent="0.25">
      <c r="A209" s="129"/>
      <c r="B209" s="129"/>
      <c r="C209" s="118">
        <v>9241</v>
      </c>
      <c r="D209" s="125" t="s">
        <v>95</v>
      </c>
      <c r="E209" s="125"/>
      <c r="F209" s="122">
        <v>6037.37</v>
      </c>
      <c r="G209" s="122">
        <f>G210</f>
        <v>6008.93</v>
      </c>
      <c r="H209" s="140">
        <f t="shared" si="12"/>
        <v>99.52893395634193</v>
      </c>
    </row>
    <row r="210" spans="1:8" x14ac:dyDescent="0.25">
      <c r="A210" s="14"/>
      <c r="B210" s="11">
        <v>422</v>
      </c>
      <c r="C210" s="13"/>
      <c r="D210" s="132" t="s">
        <v>204</v>
      </c>
      <c r="E210" s="60"/>
      <c r="F210" s="56"/>
      <c r="G210" s="124">
        <f>G211+G212</f>
        <v>6008.93</v>
      </c>
      <c r="H210" s="140"/>
    </row>
    <row r="211" spans="1:8" x14ac:dyDescent="0.25">
      <c r="A211" s="14"/>
      <c r="B211" s="14">
        <v>4221</v>
      </c>
      <c r="C211" s="13"/>
      <c r="D211" s="132" t="s">
        <v>205</v>
      </c>
      <c r="E211" s="60"/>
      <c r="F211" s="56"/>
      <c r="G211" s="56">
        <v>2723.93</v>
      </c>
      <c r="H211" s="140"/>
    </row>
    <row r="212" spans="1:8" ht="22.5" x14ac:dyDescent="0.25">
      <c r="A212" s="14"/>
      <c r="B212" s="14">
        <v>4227</v>
      </c>
      <c r="C212" s="13"/>
      <c r="D212" s="131" t="s">
        <v>206</v>
      </c>
      <c r="E212" s="60"/>
      <c r="F212" s="56"/>
      <c r="G212" s="56">
        <v>3285</v>
      </c>
      <c r="H212" s="140"/>
    </row>
    <row r="213" spans="1:8" s="123" customFormat="1" x14ac:dyDescent="0.25">
      <c r="A213" s="129"/>
      <c r="B213" s="129"/>
      <c r="C213" s="118">
        <v>6103</v>
      </c>
      <c r="D213" s="118" t="s">
        <v>53</v>
      </c>
      <c r="E213" s="118"/>
      <c r="F213" s="122">
        <v>2127.23</v>
      </c>
      <c r="G213" s="122">
        <f>G214</f>
        <v>800</v>
      </c>
      <c r="H213" s="140">
        <f t="shared" si="12"/>
        <v>37.607592973021255</v>
      </c>
    </row>
    <row r="214" spans="1:8" x14ac:dyDescent="0.25">
      <c r="A214" s="14"/>
      <c r="B214" s="11">
        <v>422</v>
      </c>
      <c r="C214" s="13"/>
      <c r="D214" s="132" t="s">
        <v>204</v>
      </c>
      <c r="E214" s="13"/>
      <c r="F214" s="56"/>
      <c r="G214" s="124">
        <f>G215</f>
        <v>800</v>
      </c>
      <c r="H214" s="140"/>
    </row>
    <row r="215" spans="1:8" x14ac:dyDescent="0.25">
      <c r="A215" s="14"/>
      <c r="B215" s="14">
        <v>4223</v>
      </c>
      <c r="C215" s="13"/>
      <c r="D215" s="133" t="s">
        <v>207</v>
      </c>
      <c r="E215" s="13"/>
      <c r="F215" s="56"/>
      <c r="G215" s="56">
        <v>800</v>
      </c>
      <c r="H215" s="140"/>
    </row>
    <row r="216" spans="1:8" s="123" customFormat="1" x14ac:dyDescent="0.25">
      <c r="A216" s="129"/>
      <c r="B216" s="129"/>
      <c r="C216" s="118">
        <v>57</v>
      </c>
      <c r="D216" s="118" t="s">
        <v>51</v>
      </c>
      <c r="E216" s="118"/>
      <c r="F216" s="122">
        <v>14599.51</v>
      </c>
      <c r="G216" s="122">
        <f>G217</f>
        <v>71.290000000000006</v>
      </c>
      <c r="H216" s="140">
        <f t="shared" si="12"/>
        <v>0.48830405951980582</v>
      </c>
    </row>
    <row r="217" spans="1:8" ht="22.5" x14ac:dyDescent="0.25">
      <c r="A217" s="14"/>
      <c r="B217" s="11">
        <v>424</v>
      </c>
      <c r="C217" s="13"/>
      <c r="D217" s="131" t="s">
        <v>208</v>
      </c>
      <c r="E217" s="13"/>
      <c r="F217" s="56"/>
      <c r="G217" s="124">
        <f>G218</f>
        <v>71.290000000000006</v>
      </c>
      <c r="H217" s="148"/>
    </row>
    <row r="218" spans="1:8" x14ac:dyDescent="0.25">
      <c r="A218" s="14"/>
      <c r="B218" s="14">
        <v>4241</v>
      </c>
      <c r="C218" s="13"/>
      <c r="D218" s="132" t="s">
        <v>209</v>
      </c>
      <c r="E218" s="13"/>
      <c r="F218" s="56"/>
      <c r="G218" s="56">
        <v>71.290000000000006</v>
      </c>
      <c r="H218" s="148"/>
    </row>
    <row r="219" spans="1:8" ht="25.5" x14ac:dyDescent="0.25">
      <c r="A219" s="39"/>
      <c r="B219" s="39">
        <v>45</v>
      </c>
      <c r="C219" s="39"/>
      <c r="D219" s="43" t="s">
        <v>45</v>
      </c>
      <c r="E219" s="43"/>
      <c r="F219" s="59">
        <f t="shared" ref="F219" si="13">SUM(F220:F222)</f>
        <v>40000</v>
      </c>
      <c r="G219" s="59">
        <f>G220</f>
        <v>375</v>
      </c>
      <c r="H219" s="137">
        <f>(G219/F219)*100</f>
        <v>0.9375</v>
      </c>
    </row>
    <row r="220" spans="1:8" s="123" customFormat="1" x14ac:dyDescent="0.25">
      <c r="A220" s="129"/>
      <c r="B220" s="129"/>
      <c r="C220" s="118">
        <v>11</v>
      </c>
      <c r="D220" s="118" t="s">
        <v>17</v>
      </c>
      <c r="E220" s="118"/>
      <c r="F220" s="122">
        <v>40000</v>
      </c>
      <c r="G220" s="122">
        <f>G221</f>
        <v>375</v>
      </c>
      <c r="H220" s="140">
        <f t="shared" ref="H220" si="14">(G220/F220)*100</f>
        <v>0.9375</v>
      </c>
    </row>
    <row r="221" spans="1:8" ht="22.5" x14ac:dyDescent="0.25">
      <c r="A221" s="14"/>
      <c r="B221" s="11">
        <v>451</v>
      </c>
      <c r="C221" s="13"/>
      <c r="D221" s="131" t="s">
        <v>210</v>
      </c>
      <c r="E221" s="13"/>
      <c r="F221" s="56"/>
      <c r="G221" s="124">
        <f>G222</f>
        <v>375</v>
      </c>
      <c r="H221" s="148"/>
    </row>
    <row r="222" spans="1:8" ht="22.5" x14ac:dyDescent="0.25">
      <c r="A222" s="14"/>
      <c r="B222" s="14">
        <v>4511</v>
      </c>
      <c r="C222" s="13"/>
      <c r="D222" s="131" t="s">
        <v>210</v>
      </c>
      <c r="E222" s="13"/>
      <c r="F222" s="56"/>
      <c r="G222" s="56">
        <v>375</v>
      </c>
      <c r="H222" s="148"/>
    </row>
  </sheetData>
  <mergeCells count="9">
    <mergeCell ref="A1:H1"/>
    <mergeCell ref="A10:D10"/>
    <mergeCell ref="A49:D49"/>
    <mergeCell ref="A63:D63"/>
    <mergeCell ref="A7:H7"/>
    <mergeCell ref="A60:H60"/>
    <mergeCell ref="A3:H3"/>
    <mergeCell ref="A5:H5"/>
    <mergeCell ref="A46:H4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zoomScale="170" zoomScaleNormal="170" workbookViewId="0">
      <selection activeCell="C15" sqref="C15"/>
    </sheetView>
  </sheetViews>
  <sheetFormatPr defaultRowHeight="15" x14ac:dyDescent="0.25"/>
  <cols>
    <col min="1" max="1" width="37.7109375" customWidth="1"/>
    <col min="2" max="2" width="17.140625" customWidth="1"/>
    <col min="3" max="5" width="25.28515625" customWidth="1"/>
  </cols>
  <sheetData>
    <row r="1" spans="1:11" ht="42" customHeight="1" x14ac:dyDescent="0.25">
      <c r="A1" s="236" t="s">
        <v>138</v>
      </c>
      <c r="B1" s="236"/>
      <c r="C1" s="236"/>
      <c r="D1" s="236"/>
      <c r="E1" s="236"/>
      <c r="F1" s="103"/>
      <c r="G1" s="103"/>
      <c r="H1" s="103"/>
      <c r="I1" s="103"/>
      <c r="J1" s="103"/>
      <c r="K1" s="103"/>
    </row>
    <row r="2" spans="1:11" ht="15.75" x14ac:dyDescent="0.25">
      <c r="A2" s="218" t="s">
        <v>26</v>
      </c>
      <c r="B2" s="218"/>
      <c r="C2" s="218"/>
      <c r="D2" s="232"/>
      <c r="E2" s="232"/>
    </row>
    <row r="3" spans="1:11" ht="18" x14ac:dyDescent="0.25">
      <c r="A3" s="5"/>
      <c r="B3" s="24"/>
      <c r="C3" s="5"/>
      <c r="D3" s="6"/>
      <c r="E3" s="6"/>
    </row>
    <row r="4" spans="1:11" ht="18" customHeight="1" x14ac:dyDescent="0.25">
      <c r="A4" s="218" t="s">
        <v>12</v>
      </c>
      <c r="B4" s="218"/>
      <c r="C4" s="219"/>
      <c r="D4" s="219"/>
      <c r="E4" s="219"/>
    </row>
    <row r="5" spans="1:11" ht="18" x14ac:dyDescent="0.25">
      <c r="A5" s="5"/>
      <c r="B5" s="24"/>
      <c r="C5" s="5"/>
      <c r="D5" s="6"/>
      <c r="E5" s="6"/>
    </row>
    <row r="6" spans="1:11" ht="15.75" x14ac:dyDescent="0.25">
      <c r="A6" s="218" t="s">
        <v>22</v>
      </c>
      <c r="B6" s="218"/>
      <c r="C6" s="240"/>
      <c r="D6" s="240"/>
      <c r="E6" s="240"/>
    </row>
    <row r="7" spans="1:11" ht="18" x14ac:dyDescent="0.25">
      <c r="A7" s="5"/>
      <c r="B7" s="24"/>
      <c r="C7" s="5"/>
      <c r="D7" s="6"/>
      <c r="E7" s="50" t="s">
        <v>54</v>
      </c>
    </row>
    <row r="8" spans="1:11" ht="30" x14ac:dyDescent="0.25">
      <c r="A8" s="113" t="s">
        <v>23</v>
      </c>
      <c r="B8" s="114" t="s">
        <v>139</v>
      </c>
      <c r="C8" s="114" t="s">
        <v>140</v>
      </c>
      <c r="D8" s="114" t="s">
        <v>145</v>
      </c>
      <c r="E8" s="114" t="s">
        <v>142</v>
      </c>
    </row>
    <row r="9" spans="1:11" x14ac:dyDescent="0.25">
      <c r="A9" s="112">
        <v>1</v>
      </c>
      <c r="B9" s="112">
        <v>2</v>
      </c>
      <c r="C9" s="112">
        <v>3</v>
      </c>
      <c r="D9" s="112">
        <v>4</v>
      </c>
      <c r="E9" s="112" t="s">
        <v>143</v>
      </c>
    </row>
    <row r="10" spans="1:11" ht="15.75" customHeight="1" x14ac:dyDescent="0.25">
      <c r="A10" s="11" t="s">
        <v>24</v>
      </c>
      <c r="B10" s="11"/>
      <c r="C10" s="92">
        <f>C11</f>
        <v>3359254.35</v>
      </c>
      <c r="D10" s="92">
        <f t="shared" ref="D10" si="0">D11</f>
        <v>1571771.76</v>
      </c>
      <c r="E10" s="134">
        <f>(D10/C10)*100</f>
        <v>46.789304894403131</v>
      </c>
    </row>
    <row r="11" spans="1:11" ht="15.75" customHeight="1" x14ac:dyDescent="0.25">
      <c r="A11" s="11" t="s">
        <v>47</v>
      </c>
      <c r="B11" s="11"/>
      <c r="C11" s="91">
        <f>C12+C13</f>
        <v>3359254.35</v>
      </c>
      <c r="D11" s="91">
        <f>D12+D13</f>
        <v>1571771.76</v>
      </c>
      <c r="E11" s="134">
        <f t="shared" ref="E11:E13" si="1">(D11/C11)*100</f>
        <v>46.789304894403131</v>
      </c>
    </row>
    <row r="12" spans="1:11" x14ac:dyDescent="0.25">
      <c r="A12" s="15" t="s">
        <v>48</v>
      </c>
      <c r="B12" s="15"/>
      <c r="C12" s="91">
        <v>3030847.19</v>
      </c>
      <c r="D12" s="91">
        <f>1571771.76-172692.93</f>
        <v>1399078.83</v>
      </c>
      <c r="E12" s="134">
        <f t="shared" si="1"/>
        <v>46.161312078554516</v>
      </c>
    </row>
    <row r="13" spans="1:11" x14ac:dyDescent="0.25">
      <c r="A13" s="11" t="s">
        <v>49</v>
      </c>
      <c r="B13" s="11"/>
      <c r="C13" s="91">
        <v>328407.15999999997</v>
      </c>
      <c r="D13" s="91">
        <f>9276.88+11.21+20207.73+143197.11</f>
        <v>172692.93</v>
      </c>
      <c r="E13" s="134">
        <f t="shared" si="1"/>
        <v>52.585007586314504</v>
      </c>
    </row>
  </sheetData>
  <mergeCells count="4">
    <mergeCell ref="A2:E2"/>
    <mergeCell ref="A4:E4"/>
    <mergeCell ref="A6:E6"/>
    <mergeCell ref="A1:E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4"/>
  <sheetViews>
    <sheetView zoomScale="150" zoomScaleNormal="150" workbookViewId="0">
      <selection activeCell="D4" sqref="D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15.7109375" customWidth="1"/>
    <col min="4" max="4" width="37.28515625" customWidth="1"/>
    <col min="5" max="7" width="25.28515625" customWidth="1"/>
  </cols>
  <sheetData>
    <row r="1" spans="1:10" ht="42" customHeight="1" x14ac:dyDescent="0.25">
      <c r="A1" s="236" t="s">
        <v>138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ht="18" x14ac:dyDescent="0.25">
      <c r="A2" s="5"/>
      <c r="B2" s="5"/>
      <c r="C2" s="5"/>
      <c r="D2" s="5"/>
      <c r="E2" s="5"/>
      <c r="F2" s="6"/>
      <c r="G2" s="6"/>
    </row>
    <row r="3" spans="1:10" ht="18" customHeight="1" x14ac:dyDescent="0.3">
      <c r="A3" s="218" t="s">
        <v>25</v>
      </c>
      <c r="B3" s="219"/>
      <c r="C3" s="219"/>
      <c r="D3" s="219"/>
      <c r="E3" s="219"/>
      <c r="F3" s="219"/>
      <c r="G3" s="219"/>
    </row>
    <row r="4" spans="1:10" ht="18" x14ac:dyDescent="0.25">
      <c r="A4" s="5"/>
      <c r="B4" s="5"/>
      <c r="C4" s="50"/>
      <c r="D4" s="5"/>
      <c r="E4" s="63">
        <f>E7+E189</f>
        <v>3359254.3499999996</v>
      </c>
      <c r="F4" s="63">
        <f>F7+F189</f>
        <v>1571771.76</v>
      </c>
      <c r="G4" s="63">
        <f>G7+G189</f>
        <v>0</v>
      </c>
    </row>
    <row r="5" spans="1:10" x14ac:dyDescent="0.25">
      <c r="A5" s="259" t="s">
        <v>27</v>
      </c>
      <c r="B5" s="260"/>
      <c r="C5" s="261"/>
      <c r="D5" s="19" t="s">
        <v>28</v>
      </c>
      <c r="E5" s="20" t="s">
        <v>140</v>
      </c>
      <c r="F5" s="20" t="s">
        <v>141</v>
      </c>
      <c r="G5" s="20" t="s">
        <v>142</v>
      </c>
    </row>
    <row r="6" spans="1:10" s="117" customFormat="1" ht="12" x14ac:dyDescent="0.2">
      <c r="A6" s="241">
        <v>1</v>
      </c>
      <c r="B6" s="242"/>
      <c r="C6" s="242"/>
      <c r="D6" s="243"/>
      <c r="E6" s="116">
        <v>2</v>
      </c>
      <c r="F6" s="116">
        <v>3</v>
      </c>
      <c r="G6" s="116" t="s">
        <v>146</v>
      </c>
    </row>
    <row r="7" spans="1:10" ht="37.15" customHeight="1" x14ac:dyDescent="0.25">
      <c r="A7" s="253" t="s">
        <v>126</v>
      </c>
      <c r="B7" s="254"/>
      <c r="C7" s="255"/>
      <c r="D7" s="90" t="s">
        <v>127</v>
      </c>
      <c r="E7" s="74">
        <f>E8+E33+E40+E44+E50+E93+E161+E168</f>
        <v>3038025.32</v>
      </c>
      <c r="F7" s="74">
        <f>F8+F33+F40+F44+F50+F93+F161+F168</f>
        <v>1438362.17</v>
      </c>
      <c r="G7" s="74"/>
    </row>
    <row r="8" spans="1:10" ht="24.95" customHeight="1" x14ac:dyDescent="0.25">
      <c r="A8" s="256" t="s">
        <v>57</v>
      </c>
      <c r="B8" s="257"/>
      <c r="C8" s="258"/>
      <c r="D8" s="65" t="s">
        <v>58</v>
      </c>
      <c r="E8" s="72">
        <f>E10</f>
        <v>174685.75000000003</v>
      </c>
      <c r="F8" s="72">
        <f t="shared" ref="F8" si="0">F10</f>
        <v>91131.290000000008</v>
      </c>
      <c r="G8" s="72"/>
    </row>
    <row r="9" spans="1:10" s="79" customFormat="1" ht="24.95" customHeight="1" x14ac:dyDescent="0.2">
      <c r="A9" s="250" t="s">
        <v>86</v>
      </c>
      <c r="B9" s="251"/>
      <c r="C9" s="252"/>
      <c r="D9" s="77" t="s">
        <v>17</v>
      </c>
      <c r="E9" s="78">
        <f>E10</f>
        <v>174685.75000000003</v>
      </c>
      <c r="F9" s="78">
        <f t="shared" ref="F9" si="1">F10</f>
        <v>91131.290000000008</v>
      </c>
      <c r="G9" s="78">
        <f>(F9/E9)*100</f>
        <v>52.168702942283495</v>
      </c>
    </row>
    <row r="10" spans="1:10" ht="24.95" customHeight="1" x14ac:dyDescent="0.3">
      <c r="A10" s="244">
        <v>3</v>
      </c>
      <c r="B10" s="245"/>
      <c r="C10" s="246"/>
      <c r="D10" s="26" t="s">
        <v>19</v>
      </c>
      <c r="E10" s="57">
        <f>E11</f>
        <v>174685.75000000003</v>
      </c>
      <c r="F10" s="57">
        <f>F11</f>
        <v>91131.290000000008</v>
      </c>
      <c r="G10" s="57"/>
    </row>
    <row r="11" spans="1:10" ht="24.95" customHeight="1" x14ac:dyDescent="0.25">
      <c r="A11" s="247">
        <v>32</v>
      </c>
      <c r="B11" s="248"/>
      <c r="C11" s="249"/>
      <c r="D11" s="26" t="s">
        <v>29</v>
      </c>
      <c r="E11" s="57">
        <f>73316.08+76766.87+750+12106.25+1537.51+398.17+9810.87</f>
        <v>174685.75000000003</v>
      </c>
      <c r="F11" s="57">
        <f>F12+F16+F20+F28</f>
        <v>91131.290000000008</v>
      </c>
      <c r="G11" s="78">
        <f>(F11/E11)*100</f>
        <v>52.168702942283495</v>
      </c>
    </row>
    <row r="12" spans="1:10" ht="24.95" customHeight="1" x14ac:dyDescent="0.25">
      <c r="A12" s="265">
        <v>321</v>
      </c>
      <c r="B12" s="266"/>
      <c r="C12" s="267"/>
      <c r="D12" s="131" t="s">
        <v>171</v>
      </c>
      <c r="E12" s="57"/>
      <c r="F12" s="210">
        <f>SUM(F13:F15)</f>
        <v>7620.9299999999994</v>
      </c>
      <c r="G12" s="58"/>
    </row>
    <row r="13" spans="1:10" ht="24.95" customHeight="1" x14ac:dyDescent="0.25">
      <c r="A13" s="262">
        <v>3211</v>
      </c>
      <c r="B13" s="263"/>
      <c r="C13" s="264"/>
      <c r="D13" s="131" t="s">
        <v>172</v>
      </c>
      <c r="E13" s="57"/>
      <c r="F13" s="57">
        <v>6375.73</v>
      </c>
      <c r="G13" s="58"/>
    </row>
    <row r="14" spans="1:10" ht="24.95" customHeight="1" x14ac:dyDescent="0.25">
      <c r="A14" s="262">
        <v>3213</v>
      </c>
      <c r="B14" s="263"/>
      <c r="C14" s="264"/>
      <c r="D14" s="131" t="s">
        <v>174</v>
      </c>
      <c r="E14" s="57"/>
      <c r="F14" s="57">
        <v>350</v>
      </c>
      <c r="G14" s="58"/>
    </row>
    <row r="15" spans="1:10" ht="24.95" customHeight="1" x14ac:dyDescent="0.25">
      <c r="A15" s="262">
        <v>3214</v>
      </c>
      <c r="B15" s="263"/>
      <c r="C15" s="264"/>
      <c r="D15" s="131" t="s">
        <v>175</v>
      </c>
      <c r="E15" s="57"/>
      <c r="F15" s="57">
        <v>895.2</v>
      </c>
      <c r="G15" s="58"/>
    </row>
    <row r="16" spans="1:10" ht="24.95" customHeight="1" x14ac:dyDescent="0.25">
      <c r="A16" s="265">
        <v>322</v>
      </c>
      <c r="B16" s="266"/>
      <c r="C16" s="267"/>
      <c r="D16" s="131" t="s">
        <v>176</v>
      </c>
      <c r="E16" s="57"/>
      <c r="F16" s="210">
        <f>SUM(F17:F19)</f>
        <v>50259.070000000007</v>
      </c>
      <c r="G16" s="58"/>
    </row>
    <row r="17" spans="1:7" ht="24.95" customHeight="1" x14ac:dyDescent="0.25">
      <c r="A17" s="262">
        <v>3221</v>
      </c>
      <c r="B17" s="263"/>
      <c r="C17" s="264"/>
      <c r="D17" s="131" t="s">
        <v>177</v>
      </c>
      <c r="E17" s="57"/>
      <c r="F17" s="57">
        <v>13525.95</v>
      </c>
      <c r="G17" s="58"/>
    </row>
    <row r="18" spans="1:7" ht="24.95" customHeight="1" x14ac:dyDescent="0.25">
      <c r="A18" s="262">
        <v>3223</v>
      </c>
      <c r="B18" s="263"/>
      <c r="C18" s="264"/>
      <c r="D18" s="131" t="s">
        <v>179</v>
      </c>
      <c r="E18" s="57"/>
      <c r="F18" s="57">
        <v>36710.120000000003</v>
      </c>
      <c r="G18" s="58"/>
    </row>
    <row r="19" spans="1:7" ht="24.95" customHeight="1" x14ac:dyDescent="0.25">
      <c r="A19" s="262">
        <v>3225</v>
      </c>
      <c r="B19" s="263"/>
      <c r="C19" s="264"/>
      <c r="D19" s="131" t="s">
        <v>180</v>
      </c>
      <c r="E19" s="57"/>
      <c r="F19" s="57">
        <v>23</v>
      </c>
      <c r="G19" s="58"/>
    </row>
    <row r="20" spans="1:7" ht="24.95" customHeight="1" x14ac:dyDescent="0.25">
      <c r="A20" s="265">
        <v>323</v>
      </c>
      <c r="B20" s="266"/>
      <c r="C20" s="267"/>
      <c r="D20" s="131" t="s">
        <v>181</v>
      </c>
      <c r="E20" s="57"/>
      <c r="F20" s="210">
        <f>SUM(F21:F27)</f>
        <v>28529.15</v>
      </c>
      <c r="G20" s="58"/>
    </row>
    <row r="21" spans="1:7" ht="24.95" customHeight="1" x14ac:dyDescent="0.25">
      <c r="A21" s="262">
        <v>3231</v>
      </c>
      <c r="B21" s="263"/>
      <c r="C21" s="264"/>
      <c r="D21" s="131" t="s">
        <v>182</v>
      </c>
      <c r="E21" s="57"/>
      <c r="F21" s="57">
        <v>2296.71</v>
      </c>
      <c r="G21" s="58"/>
    </row>
    <row r="22" spans="1:7" ht="24.95" customHeight="1" x14ac:dyDescent="0.25">
      <c r="A22" s="262">
        <v>3232</v>
      </c>
      <c r="B22" s="263"/>
      <c r="C22" s="264"/>
      <c r="D22" s="131" t="s">
        <v>183</v>
      </c>
      <c r="E22" s="57"/>
      <c r="F22" s="57">
        <v>4750</v>
      </c>
      <c r="G22" s="58"/>
    </row>
    <row r="23" spans="1:7" ht="24.95" customHeight="1" x14ac:dyDescent="0.25">
      <c r="A23" s="262">
        <v>3233</v>
      </c>
      <c r="B23" s="263"/>
      <c r="C23" s="264"/>
      <c r="D23" s="131" t="s">
        <v>184</v>
      </c>
      <c r="E23" s="57"/>
      <c r="F23" s="57">
        <v>248.85</v>
      </c>
      <c r="G23" s="58"/>
    </row>
    <row r="24" spans="1:7" ht="24.95" customHeight="1" x14ac:dyDescent="0.25">
      <c r="A24" s="262">
        <v>3234</v>
      </c>
      <c r="B24" s="263"/>
      <c r="C24" s="264"/>
      <c r="D24" s="131" t="s">
        <v>185</v>
      </c>
      <c r="E24" s="57"/>
      <c r="F24" s="57">
        <v>8491.61</v>
      </c>
      <c r="G24" s="58"/>
    </row>
    <row r="25" spans="1:7" ht="24.95" customHeight="1" x14ac:dyDescent="0.25">
      <c r="A25" s="262">
        <v>3237</v>
      </c>
      <c r="B25" s="263"/>
      <c r="C25" s="264"/>
      <c r="D25" s="131" t="s">
        <v>186</v>
      </c>
      <c r="E25" s="57"/>
      <c r="F25" s="57">
        <v>1708.4</v>
      </c>
      <c r="G25" s="58"/>
    </row>
    <row r="26" spans="1:7" ht="24.95" customHeight="1" x14ac:dyDescent="0.25">
      <c r="A26" s="262">
        <v>3238</v>
      </c>
      <c r="B26" s="263"/>
      <c r="C26" s="264"/>
      <c r="D26" s="131" t="s">
        <v>187</v>
      </c>
      <c r="E26" s="57"/>
      <c r="F26" s="57">
        <v>2456.8000000000002</v>
      </c>
      <c r="G26" s="58"/>
    </row>
    <row r="27" spans="1:7" ht="24.95" customHeight="1" x14ac:dyDescent="0.25">
      <c r="A27" s="262">
        <v>3239</v>
      </c>
      <c r="B27" s="263"/>
      <c r="C27" s="264"/>
      <c r="D27" s="131" t="s">
        <v>188</v>
      </c>
      <c r="E27" s="57"/>
      <c r="F27" s="57">
        <v>8576.7800000000007</v>
      </c>
      <c r="G27" s="58"/>
    </row>
    <row r="28" spans="1:7" ht="24.95" customHeight="1" x14ac:dyDescent="0.25">
      <c r="A28" s="265">
        <v>329</v>
      </c>
      <c r="B28" s="266"/>
      <c r="C28" s="267"/>
      <c r="D28" s="131" t="s">
        <v>189</v>
      </c>
      <c r="E28" s="57"/>
      <c r="F28" s="210">
        <f>SUM(F29:F32)</f>
        <v>4722.1400000000003</v>
      </c>
      <c r="G28" s="58"/>
    </row>
    <row r="29" spans="1:7" ht="24.95" customHeight="1" x14ac:dyDescent="0.25">
      <c r="A29" s="262">
        <v>3292</v>
      </c>
      <c r="B29" s="263"/>
      <c r="C29" s="264"/>
      <c r="D29" s="131" t="s">
        <v>190</v>
      </c>
      <c r="E29" s="57"/>
      <c r="F29" s="57">
        <v>3291.53</v>
      </c>
      <c r="G29" s="58"/>
    </row>
    <row r="30" spans="1:7" ht="24.95" customHeight="1" x14ac:dyDescent="0.25">
      <c r="A30" s="262">
        <v>3293</v>
      </c>
      <c r="B30" s="263"/>
      <c r="C30" s="264"/>
      <c r="D30" s="131" t="s">
        <v>191</v>
      </c>
      <c r="E30" s="57"/>
      <c r="F30" s="57">
        <v>111.46</v>
      </c>
      <c r="G30" s="58"/>
    </row>
    <row r="31" spans="1:7" ht="24.95" customHeight="1" x14ac:dyDescent="0.25">
      <c r="A31" s="262">
        <v>3294</v>
      </c>
      <c r="B31" s="263"/>
      <c r="C31" s="264"/>
      <c r="D31" s="131" t="s">
        <v>192</v>
      </c>
      <c r="E31" s="57"/>
      <c r="F31" s="57">
        <v>106.18</v>
      </c>
      <c r="G31" s="58"/>
    </row>
    <row r="32" spans="1:7" ht="24.95" customHeight="1" x14ac:dyDescent="0.25">
      <c r="A32" s="262">
        <v>3299</v>
      </c>
      <c r="B32" s="263"/>
      <c r="C32" s="264"/>
      <c r="D32" s="131" t="s">
        <v>189</v>
      </c>
      <c r="E32" s="57"/>
      <c r="F32" s="57">
        <v>1212.97</v>
      </c>
      <c r="G32" s="58"/>
    </row>
    <row r="33" spans="1:7" ht="24.95" customHeight="1" x14ac:dyDescent="0.25">
      <c r="A33" s="256" t="s">
        <v>59</v>
      </c>
      <c r="B33" s="257"/>
      <c r="C33" s="258"/>
      <c r="D33" s="102" t="s">
        <v>60</v>
      </c>
      <c r="E33" s="72">
        <f>E35</f>
        <v>703.43</v>
      </c>
      <c r="F33" s="72">
        <f t="shared" ref="F33" si="2">F35</f>
        <v>496.93</v>
      </c>
      <c r="G33" s="72"/>
    </row>
    <row r="34" spans="1:7" s="80" customFormat="1" ht="24.95" customHeight="1" x14ac:dyDescent="0.25">
      <c r="A34" s="250" t="s">
        <v>86</v>
      </c>
      <c r="B34" s="251"/>
      <c r="C34" s="252"/>
      <c r="D34" s="77" t="s">
        <v>17</v>
      </c>
      <c r="E34" s="78">
        <f>E35</f>
        <v>703.43</v>
      </c>
      <c r="F34" s="78">
        <f>F35</f>
        <v>496.93</v>
      </c>
      <c r="G34" s="78">
        <f>(F34/E34)*100</f>
        <v>70.643845158722257</v>
      </c>
    </row>
    <row r="35" spans="1:7" ht="24.95" customHeight="1" x14ac:dyDescent="0.25">
      <c r="A35" s="244">
        <v>3</v>
      </c>
      <c r="B35" s="245"/>
      <c r="C35" s="246"/>
      <c r="D35" s="36" t="s">
        <v>19</v>
      </c>
      <c r="E35" s="57">
        <f>E36</f>
        <v>703.43</v>
      </c>
      <c r="F35" s="57">
        <f t="shared" ref="F35" si="3">F36</f>
        <v>496.93</v>
      </c>
      <c r="G35" s="57"/>
    </row>
    <row r="36" spans="1:7" ht="24.95" customHeight="1" x14ac:dyDescent="0.25">
      <c r="A36" s="247">
        <v>34</v>
      </c>
      <c r="B36" s="248"/>
      <c r="C36" s="249"/>
      <c r="D36" s="36" t="s">
        <v>60</v>
      </c>
      <c r="E36" s="57">
        <v>703.43</v>
      </c>
      <c r="F36" s="57">
        <f>F37</f>
        <v>496.93</v>
      </c>
      <c r="G36" s="78">
        <f>(F36/E36)*100</f>
        <v>70.643845158722257</v>
      </c>
    </row>
    <row r="37" spans="1:7" ht="24.95" customHeight="1" x14ac:dyDescent="0.25">
      <c r="A37" s="262">
        <v>343</v>
      </c>
      <c r="B37" s="263"/>
      <c r="C37" s="264"/>
      <c r="D37" s="132" t="s">
        <v>198</v>
      </c>
      <c r="E37" s="57"/>
      <c r="F37" s="57">
        <f>F38+F39</f>
        <v>496.93</v>
      </c>
      <c r="G37" s="58"/>
    </row>
    <row r="38" spans="1:7" ht="24.95" customHeight="1" x14ac:dyDescent="0.25">
      <c r="A38" s="262">
        <v>3431</v>
      </c>
      <c r="B38" s="263"/>
      <c r="C38" s="264"/>
      <c r="D38" s="131" t="s">
        <v>199</v>
      </c>
      <c r="E38" s="57"/>
      <c r="F38" s="57">
        <v>458.88</v>
      </c>
      <c r="G38" s="58"/>
    </row>
    <row r="39" spans="1:7" ht="24.95" customHeight="1" x14ac:dyDescent="0.25">
      <c r="A39" s="262">
        <v>3433</v>
      </c>
      <c r="B39" s="263"/>
      <c r="C39" s="264"/>
      <c r="D39" s="132" t="s">
        <v>200</v>
      </c>
      <c r="E39" s="57"/>
      <c r="F39" s="57">
        <v>38.049999999999997</v>
      </c>
      <c r="G39" s="58"/>
    </row>
    <row r="40" spans="1:7" ht="24.95" customHeight="1" x14ac:dyDescent="0.25">
      <c r="A40" s="256" t="s">
        <v>61</v>
      </c>
      <c r="B40" s="257"/>
      <c r="C40" s="258"/>
      <c r="D40" s="65" t="s">
        <v>62</v>
      </c>
      <c r="E40" s="72">
        <f>E42</f>
        <v>5043.47</v>
      </c>
      <c r="F40" s="72">
        <f t="shared" ref="F40" si="4">F42</f>
        <v>0</v>
      </c>
      <c r="G40" s="72"/>
    </row>
    <row r="41" spans="1:7" s="80" customFormat="1" ht="24.95" customHeight="1" x14ac:dyDescent="0.25">
      <c r="A41" s="250" t="s">
        <v>86</v>
      </c>
      <c r="B41" s="251"/>
      <c r="C41" s="252"/>
      <c r="D41" s="77" t="s">
        <v>17</v>
      </c>
      <c r="E41" s="78">
        <f>E42</f>
        <v>5043.47</v>
      </c>
      <c r="F41" s="78">
        <f t="shared" ref="F41:F42" si="5">F42</f>
        <v>0</v>
      </c>
      <c r="G41" s="78">
        <f>(F41/E41)*100</f>
        <v>0</v>
      </c>
    </row>
    <row r="42" spans="1:7" ht="24.95" customHeight="1" x14ac:dyDescent="0.25">
      <c r="A42" s="244">
        <v>4</v>
      </c>
      <c r="B42" s="245"/>
      <c r="C42" s="246"/>
      <c r="D42" s="36" t="s">
        <v>21</v>
      </c>
      <c r="E42" s="57">
        <f>E43</f>
        <v>5043.47</v>
      </c>
      <c r="F42" s="57">
        <f t="shared" si="5"/>
        <v>0</v>
      </c>
      <c r="G42" s="57"/>
    </row>
    <row r="43" spans="1:7" ht="24.95" customHeight="1" x14ac:dyDescent="0.25">
      <c r="A43" s="247">
        <v>42</v>
      </c>
      <c r="B43" s="248"/>
      <c r="C43" s="249"/>
      <c r="D43" s="36" t="s">
        <v>37</v>
      </c>
      <c r="E43" s="57">
        <f>1327.23+3318.07+398.17</f>
        <v>5043.47</v>
      </c>
      <c r="F43" s="57">
        <v>0</v>
      </c>
      <c r="G43" s="78">
        <f>(F43/E43)*100</f>
        <v>0</v>
      </c>
    </row>
    <row r="44" spans="1:7" ht="24.95" customHeight="1" x14ac:dyDescent="0.25">
      <c r="A44" s="256" t="s">
        <v>63</v>
      </c>
      <c r="B44" s="257"/>
      <c r="C44" s="258"/>
      <c r="D44" s="65" t="s">
        <v>64</v>
      </c>
      <c r="E44" s="72">
        <f>E46</f>
        <v>40000</v>
      </c>
      <c r="F44" s="72">
        <f t="shared" ref="F44" si="6">F46</f>
        <v>375</v>
      </c>
      <c r="G44" s="72"/>
    </row>
    <row r="45" spans="1:7" s="80" customFormat="1" ht="24.95" customHeight="1" x14ac:dyDescent="0.25">
      <c r="A45" s="250" t="s">
        <v>86</v>
      </c>
      <c r="B45" s="251"/>
      <c r="C45" s="252"/>
      <c r="D45" s="77" t="s">
        <v>17</v>
      </c>
      <c r="E45" s="78">
        <f>E46</f>
        <v>40000</v>
      </c>
      <c r="F45" s="78">
        <f>F46</f>
        <v>375</v>
      </c>
      <c r="G45" s="78">
        <f>(F45/E45)*100</f>
        <v>0.9375</v>
      </c>
    </row>
    <row r="46" spans="1:7" ht="24.95" customHeight="1" x14ac:dyDescent="0.25">
      <c r="A46" s="244">
        <v>4</v>
      </c>
      <c r="B46" s="245"/>
      <c r="C46" s="246"/>
      <c r="D46" s="36" t="s">
        <v>21</v>
      </c>
      <c r="E46" s="57">
        <f>E47</f>
        <v>40000</v>
      </c>
      <c r="F46" s="57">
        <f t="shared" ref="F46" si="7">F47</f>
        <v>375</v>
      </c>
      <c r="G46" s="57"/>
    </row>
    <row r="47" spans="1:7" ht="24.95" customHeight="1" x14ac:dyDescent="0.25">
      <c r="A47" s="247">
        <v>45</v>
      </c>
      <c r="B47" s="248"/>
      <c r="C47" s="249"/>
      <c r="D47" s="52" t="s">
        <v>45</v>
      </c>
      <c r="E47" s="57">
        <v>40000</v>
      </c>
      <c r="F47" s="57">
        <f>F48</f>
        <v>375</v>
      </c>
      <c r="G47" s="78">
        <f>(F47/E47)*100</f>
        <v>0.9375</v>
      </c>
    </row>
    <row r="48" spans="1:7" ht="24.95" customHeight="1" x14ac:dyDescent="0.25">
      <c r="A48" s="262">
        <v>451</v>
      </c>
      <c r="B48" s="263"/>
      <c r="C48" s="264"/>
      <c r="D48" s="131" t="s">
        <v>210</v>
      </c>
      <c r="E48" s="57"/>
      <c r="F48" s="57">
        <f>F49</f>
        <v>375</v>
      </c>
      <c r="G48" s="58"/>
    </row>
    <row r="49" spans="1:7" ht="24.95" customHeight="1" x14ac:dyDescent="0.25">
      <c r="A49" s="262">
        <v>4511</v>
      </c>
      <c r="B49" s="263"/>
      <c r="C49" s="264"/>
      <c r="D49" s="131" t="s">
        <v>210</v>
      </c>
      <c r="E49" s="57"/>
      <c r="F49" s="57">
        <v>375</v>
      </c>
      <c r="G49" s="58"/>
    </row>
    <row r="50" spans="1:7" ht="32.450000000000003" customHeight="1" x14ac:dyDescent="0.25">
      <c r="A50" s="256" t="s">
        <v>65</v>
      </c>
      <c r="B50" s="257"/>
      <c r="C50" s="258"/>
      <c r="D50" s="65" t="s">
        <v>66</v>
      </c>
      <c r="E50" s="72">
        <f>E51+E54+E57+E64+E72+E90</f>
        <v>2376513.1900000004</v>
      </c>
      <c r="F50" s="72">
        <f>F51+F54+F57+F64+F72+F90</f>
        <v>1166062.17</v>
      </c>
      <c r="G50" s="72"/>
    </row>
    <row r="51" spans="1:7" s="80" customFormat="1" ht="24.95" customHeight="1" x14ac:dyDescent="0.25">
      <c r="A51" s="250" t="s">
        <v>87</v>
      </c>
      <c r="B51" s="251"/>
      <c r="C51" s="252"/>
      <c r="D51" s="77" t="s">
        <v>88</v>
      </c>
      <c r="E51" s="78">
        <f>E52</f>
        <v>331.82</v>
      </c>
      <c r="F51" s="78">
        <f t="shared" ref="F51:F52" si="8">F52</f>
        <v>0</v>
      </c>
      <c r="G51" s="78">
        <f>(F51/E51)*100</f>
        <v>0</v>
      </c>
    </row>
    <row r="52" spans="1:7" ht="24.95" customHeight="1" x14ac:dyDescent="0.25">
      <c r="A52" s="244">
        <v>3</v>
      </c>
      <c r="B52" s="245"/>
      <c r="C52" s="246"/>
      <c r="D52" s="66" t="s">
        <v>19</v>
      </c>
      <c r="E52" s="57">
        <f>E53</f>
        <v>331.82</v>
      </c>
      <c r="F52" s="57">
        <f t="shared" si="8"/>
        <v>0</v>
      </c>
      <c r="G52" s="57"/>
    </row>
    <row r="53" spans="1:7" ht="24.95" customHeight="1" x14ac:dyDescent="0.25">
      <c r="A53" s="247">
        <v>31</v>
      </c>
      <c r="B53" s="248"/>
      <c r="C53" s="249"/>
      <c r="D53" s="66" t="s">
        <v>119</v>
      </c>
      <c r="E53" s="57">
        <f>66.36+265.46</f>
        <v>331.82</v>
      </c>
      <c r="F53" s="57">
        <v>0</v>
      </c>
      <c r="G53" s="78">
        <f>(F53/E53)*100</f>
        <v>0</v>
      </c>
    </row>
    <row r="54" spans="1:7" s="80" customFormat="1" ht="24.95" customHeight="1" x14ac:dyDescent="0.25">
      <c r="A54" s="250" t="s">
        <v>113</v>
      </c>
      <c r="B54" s="251"/>
      <c r="C54" s="252"/>
      <c r="D54" s="77" t="s">
        <v>93</v>
      </c>
      <c r="E54" s="78">
        <f>E55</f>
        <v>158.33000000000001</v>
      </c>
      <c r="F54" s="78">
        <f t="shared" ref="F54:F55" si="9">F55</f>
        <v>0</v>
      </c>
      <c r="G54" s="78">
        <f>(F54/E54)*100</f>
        <v>0</v>
      </c>
    </row>
    <row r="55" spans="1:7" ht="24.95" customHeight="1" x14ac:dyDescent="0.25">
      <c r="A55" s="244">
        <v>3</v>
      </c>
      <c r="B55" s="245"/>
      <c r="C55" s="246"/>
      <c r="D55" s="66" t="s">
        <v>19</v>
      </c>
      <c r="E55" s="57">
        <f>E56</f>
        <v>158.33000000000001</v>
      </c>
      <c r="F55" s="57">
        <f t="shared" si="9"/>
        <v>0</v>
      </c>
      <c r="G55" s="57"/>
    </row>
    <row r="56" spans="1:7" ht="24.95" customHeight="1" x14ac:dyDescent="0.25">
      <c r="A56" s="247">
        <v>31</v>
      </c>
      <c r="B56" s="248"/>
      <c r="C56" s="249"/>
      <c r="D56" s="66" t="s">
        <v>118</v>
      </c>
      <c r="E56" s="57">
        <v>158.33000000000001</v>
      </c>
      <c r="F56" s="57">
        <v>0</v>
      </c>
      <c r="G56" s="78">
        <f>(F56/E56)*100</f>
        <v>0</v>
      </c>
    </row>
    <row r="57" spans="1:7" s="80" customFormat="1" ht="24.95" customHeight="1" x14ac:dyDescent="0.25">
      <c r="A57" s="250" t="s">
        <v>89</v>
      </c>
      <c r="B57" s="251"/>
      <c r="C57" s="252"/>
      <c r="D57" s="77" t="s">
        <v>112</v>
      </c>
      <c r="E57" s="78">
        <f>E58</f>
        <v>3000</v>
      </c>
      <c r="F57" s="78">
        <f>F58</f>
        <v>1706.65</v>
      </c>
      <c r="G57" s="78">
        <f>(F57/E57)*100</f>
        <v>56.888333333333343</v>
      </c>
    </row>
    <row r="58" spans="1:7" ht="24.95" customHeight="1" x14ac:dyDescent="0.25">
      <c r="A58" s="244">
        <v>3</v>
      </c>
      <c r="B58" s="245"/>
      <c r="C58" s="246"/>
      <c r="D58" s="66" t="s">
        <v>19</v>
      </c>
      <c r="E58" s="57">
        <f>E59</f>
        <v>3000</v>
      </c>
      <c r="F58" s="57">
        <f t="shared" ref="F58" si="10">F59</f>
        <v>1706.65</v>
      </c>
      <c r="G58" s="57"/>
    </row>
    <row r="59" spans="1:7" ht="24.95" customHeight="1" x14ac:dyDescent="0.25">
      <c r="A59" s="247">
        <v>31</v>
      </c>
      <c r="B59" s="248"/>
      <c r="C59" s="249"/>
      <c r="D59" s="66" t="s">
        <v>20</v>
      </c>
      <c r="E59" s="57">
        <f>2464.93+535.07</f>
        <v>3000</v>
      </c>
      <c r="F59" s="57">
        <f>F60+F62</f>
        <v>1706.65</v>
      </c>
      <c r="G59" s="78">
        <f>(F59/E59)*100</f>
        <v>56.888333333333343</v>
      </c>
    </row>
    <row r="60" spans="1:7" ht="24.95" customHeight="1" x14ac:dyDescent="0.25">
      <c r="A60" s="262">
        <v>311</v>
      </c>
      <c r="B60" s="263"/>
      <c r="C60" s="264"/>
      <c r="D60" s="131" t="s">
        <v>166</v>
      </c>
      <c r="E60" s="57"/>
      <c r="F60" s="57">
        <f>F61</f>
        <v>1464.93</v>
      </c>
      <c r="G60" s="58"/>
    </row>
    <row r="61" spans="1:7" ht="24.95" customHeight="1" x14ac:dyDescent="0.25">
      <c r="A61" s="262">
        <v>3111</v>
      </c>
      <c r="B61" s="263"/>
      <c r="C61" s="264"/>
      <c r="D61" s="131" t="s">
        <v>167</v>
      </c>
      <c r="E61" s="57"/>
      <c r="F61" s="57">
        <v>1464.93</v>
      </c>
      <c r="G61" s="58"/>
    </row>
    <row r="62" spans="1:7" ht="24.95" customHeight="1" x14ac:dyDescent="0.25">
      <c r="A62" s="262">
        <v>313</v>
      </c>
      <c r="B62" s="263"/>
      <c r="C62" s="264"/>
      <c r="D62" s="131" t="s">
        <v>169</v>
      </c>
      <c r="E62" s="57"/>
      <c r="F62" s="57">
        <f>F63</f>
        <v>241.72</v>
      </c>
      <c r="G62" s="58"/>
    </row>
    <row r="63" spans="1:7" ht="24.95" customHeight="1" x14ac:dyDescent="0.25">
      <c r="A63" s="262">
        <v>3132</v>
      </c>
      <c r="B63" s="263"/>
      <c r="C63" s="264"/>
      <c r="D63" s="131" t="s">
        <v>170</v>
      </c>
      <c r="E63" s="57"/>
      <c r="F63" s="57">
        <v>241.72</v>
      </c>
      <c r="G63" s="58"/>
    </row>
    <row r="64" spans="1:7" s="80" customFormat="1" ht="24.95" customHeight="1" x14ac:dyDescent="0.25">
      <c r="A64" s="250" t="s">
        <v>100</v>
      </c>
      <c r="B64" s="251"/>
      <c r="C64" s="252"/>
      <c r="D64" s="77" t="s">
        <v>97</v>
      </c>
      <c r="E64" s="78">
        <f>E65</f>
        <v>12664.289999999999</v>
      </c>
      <c r="F64" s="78">
        <f>F65</f>
        <v>7975.5599999999995</v>
      </c>
      <c r="G64" s="78">
        <f>(F64/E64)*100</f>
        <v>62.976763798049475</v>
      </c>
    </row>
    <row r="65" spans="1:7" ht="24.95" customHeight="1" x14ac:dyDescent="0.25">
      <c r="A65" s="244">
        <v>3</v>
      </c>
      <c r="B65" s="245"/>
      <c r="C65" s="246"/>
      <c r="D65" s="66" t="s">
        <v>19</v>
      </c>
      <c r="E65" s="57">
        <f>E66+E69</f>
        <v>12664.289999999999</v>
      </c>
      <c r="F65" s="57">
        <f>F66+F69</f>
        <v>7975.5599999999995</v>
      </c>
      <c r="G65" s="57"/>
    </row>
    <row r="66" spans="1:7" ht="24.95" customHeight="1" x14ac:dyDescent="0.25">
      <c r="A66" s="247">
        <v>31</v>
      </c>
      <c r="B66" s="248"/>
      <c r="C66" s="249"/>
      <c r="D66" s="66" t="s">
        <v>20</v>
      </c>
      <c r="E66" s="57">
        <v>11619.74</v>
      </c>
      <c r="F66" s="57">
        <f>F67</f>
        <v>7402.2</v>
      </c>
      <c r="G66" s="78">
        <f>(F66/E66)*100</f>
        <v>63.703662904677728</v>
      </c>
    </row>
    <row r="67" spans="1:7" ht="24.95" customHeight="1" x14ac:dyDescent="0.25">
      <c r="A67" s="262">
        <v>311</v>
      </c>
      <c r="B67" s="263"/>
      <c r="C67" s="264"/>
      <c r="D67" s="131" t="s">
        <v>166</v>
      </c>
      <c r="E67" s="57"/>
      <c r="F67" s="57">
        <f>F68</f>
        <v>7402.2</v>
      </c>
      <c r="G67" s="58"/>
    </row>
    <row r="68" spans="1:7" ht="24.95" customHeight="1" x14ac:dyDescent="0.25">
      <c r="A68" s="262">
        <v>3111</v>
      </c>
      <c r="B68" s="263"/>
      <c r="C68" s="264"/>
      <c r="D68" s="131" t="s">
        <v>167</v>
      </c>
      <c r="E68" s="57"/>
      <c r="F68" s="57">
        <v>7402.2</v>
      </c>
      <c r="G68" s="58"/>
    </row>
    <row r="69" spans="1:7" ht="24.95" customHeight="1" x14ac:dyDescent="0.25">
      <c r="A69" s="247">
        <v>32</v>
      </c>
      <c r="B69" s="248"/>
      <c r="C69" s="249"/>
      <c r="D69" s="66" t="s">
        <v>106</v>
      </c>
      <c r="E69" s="57">
        <v>1044.55</v>
      </c>
      <c r="F69" s="57">
        <f>F70</f>
        <v>573.36</v>
      </c>
      <c r="G69" s="78">
        <f>(F69/E69)*100</f>
        <v>54.890622756210817</v>
      </c>
    </row>
    <row r="70" spans="1:7" ht="24.95" customHeight="1" x14ac:dyDescent="0.25">
      <c r="A70" s="262">
        <v>321</v>
      </c>
      <c r="B70" s="263"/>
      <c r="C70" s="264"/>
      <c r="D70" s="131" t="s">
        <v>171</v>
      </c>
      <c r="E70" s="57"/>
      <c r="F70" s="57">
        <f>F71</f>
        <v>573.36</v>
      </c>
      <c r="G70" s="58"/>
    </row>
    <row r="71" spans="1:7" ht="24.95" customHeight="1" x14ac:dyDescent="0.25">
      <c r="A71" s="262">
        <v>3212</v>
      </c>
      <c r="B71" s="263"/>
      <c r="C71" s="264"/>
      <c r="D71" s="131" t="s">
        <v>173</v>
      </c>
      <c r="E71" s="57"/>
      <c r="F71" s="57">
        <v>573.36</v>
      </c>
      <c r="G71" s="58"/>
    </row>
    <row r="72" spans="1:7" s="80" customFormat="1" ht="24.95" customHeight="1" x14ac:dyDescent="0.25">
      <c r="A72" s="250" t="s">
        <v>85</v>
      </c>
      <c r="B72" s="251"/>
      <c r="C72" s="252"/>
      <c r="D72" s="77" t="s">
        <v>99</v>
      </c>
      <c r="E72" s="78">
        <f>E73</f>
        <v>2359827.8600000003</v>
      </c>
      <c r="F72" s="78">
        <f>F73</f>
        <v>1156379.96</v>
      </c>
      <c r="G72" s="78">
        <f>(F72/E72)*100</f>
        <v>49.002725139451478</v>
      </c>
    </row>
    <row r="73" spans="1:7" ht="24.95" customHeight="1" x14ac:dyDescent="0.25">
      <c r="A73" s="244">
        <v>3</v>
      </c>
      <c r="B73" s="245"/>
      <c r="C73" s="246"/>
      <c r="D73" s="36" t="s">
        <v>19</v>
      </c>
      <c r="E73" s="57">
        <f>E74+E83</f>
        <v>2359827.8600000003</v>
      </c>
      <c r="F73" s="57">
        <f>F74+F83</f>
        <v>1156379.96</v>
      </c>
      <c r="G73" s="57"/>
    </row>
    <row r="74" spans="1:7" ht="24.95" customHeight="1" x14ac:dyDescent="0.25">
      <c r="A74" s="247">
        <v>31</v>
      </c>
      <c r="B74" s="248"/>
      <c r="C74" s="249"/>
      <c r="D74" s="36" t="s">
        <v>20</v>
      </c>
      <c r="E74" s="57">
        <f>E75+E82</f>
        <v>2298541.37</v>
      </c>
      <c r="F74" s="57">
        <f>F76+F78+F80+F82</f>
        <v>1130459.49</v>
      </c>
      <c r="G74" s="78">
        <f>(F74/E74)*100</f>
        <v>49.181602939780888</v>
      </c>
    </row>
    <row r="75" spans="1:7" ht="24.95" customHeight="1" x14ac:dyDescent="0.25">
      <c r="A75" s="67"/>
      <c r="B75" s="68"/>
      <c r="C75" s="69"/>
      <c r="D75" s="75" t="s">
        <v>107</v>
      </c>
      <c r="E75" s="76">
        <f>1879168.1+9424.46+12343.22+4395.5+1612.61+1438.1+1765.74+38157.81+1327.23+38157.81+310062.75</f>
        <v>2297853.33</v>
      </c>
      <c r="F75" s="76">
        <f>F76+F78+F80</f>
        <v>1130459.49</v>
      </c>
      <c r="G75" s="89"/>
    </row>
    <row r="76" spans="1:7" ht="24.95" customHeight="1" x14ac:dyDescent="0.25">
      <c r="A76" s="262">
        <v>311</v>
      </c>
      <c r="B76" s="263"/>
      <c r="C76" s="264"/>
      <c r="D76" s="131" t="s">
        <v>166</v>
      </c>
      <c r="E76" s="76"/>
      <c r="F76" s="76">
        <f>F77</f>
        <v>943227.35</v>
      </c>
      <c r="G76" s="89"/>
    </row>
    <row r="77" spans="1:7" ht="24.95" customHeight="1" x14ac:dyDescent="0.25">
      <c r="A77" s="262">
        <v>3111</v>
      </c>
      <c r="B77" s="263"/>
      <c r="C77" s="264"/>
      <c r="D77" s="131" t="s">
        <v>167</v>
      </c>
      <c r="E77" s="76"/>
      <c r="F77" s="76">
        <v>943227.35</v>
      </c>
      <c r="G77" s="89"/>
    </row>
    <row r="78" spans="1:7" ht="24.95" customHeight="1" x14ac:dyDescent="0.25">
      <c r="A78" s="262">
        <v>312</v>
      </c>
      <c r="B78" s="263"/>
      <c r="C78" s="264"/>
      <c r="D78" s="131" t="s">
        <v>168</v>
      </c>
      <c r="E78" s="76"/>
      <c r="F78" s="76">
        <f>F79</f>
        <v>35983.699999999997</v>
      </c>
      <c r="G78" s="89"/>
    </row>
    <row r="79" spans="1:7" ht="24.95" customHeight="1" x14ac:dyDescent="0.25">
      <c r="A79" s="262">
        <v>3121</v>
      </c>
      <c r="B79" s="263"/>
      <c r="C79" s="264"/>
      <c r="D79" s="131" t="s">
        <v>168</v>
      </c>
      <c r="E79" s="76"/>
      <c r="F79" s="76">
        <v>35983.699999999997</v>
      </c>
      <c r="G79" s="89"/>
    </row>
    <row r="80" spans="1:7" ht="24.95" customHeight="1" x14ac:dyDescent="0.25">
      <c r="A80" s="262">
        <v>313</v>
      </c>
      <c r="B80" s="263"/>
      <c r="C80" s="264"/>
      <c r="D80" s="131" t="s">
        <v>169</v>
      </c>
      <c r="E80" s="76"/>
      <c r="F80" s="76">
        <f>F81</f>
        <v>151248.44</v>
      </c>
      <c r="G80" s="89"/>
    </row>
    <row r="81" spans="1:7" ht="24.95" customHeight="1" x14ac:dyDescent="0.25">
      <c r="A81" s="262">
        <v>3132</v>
      </c>
      <c r="B81" s="263"/>
      <c r="C81" s="264"/>
      <c r="D81" s="131" t="s">
        <v>170</v>
      </c>
      <c r="E81" s="76"/>
      <c r="F81" s="76">
        <v>151248.44</v>
      </c>
      <c r="G81" s="89"/>
    </row>
    <row r="82" spans="1:7" ht="24.95" customHeight="1" x14ac:dyDescent="0.25">
      <c r="A82" s="67"/>
      <c r="B82" s="68"/>
      <c r="C82" s="69"/>
      <c r="D82" s="75" t="s">
        <v>108</v>
      </c>
      <c r="E82" s="76">
        <v>688.04</v>
      </c>
      <c r="F82" s="76">
        <v>0</v>
      </c>
      <c r="G82" s="89"/>
    </row>
    <row r="83" spans="1:7" ht="24.95" customHeight="1" x14ac:dyDescent="0.25">
      <c r="A83" s="247">
        <v>32</v>
      </c>
      <c r="B83" s="248"/>
      <c r="C83" s="249"/>
      <c r="D83" s="36" t="s">
        <v>29</v>
      </c>
      <c r="E83" s="57">
        <f>E84+E86+E88</f>
        <v>61286.49</v>
      </c>
      <c r="F83" s="57">
        <f>F84+F86+F88</f>
        <v>25920.47</v>
      </c>
      <c r="G83" s="78">
        <f>(F83/E83)*100</f>
        <v>42.293937864609319</v>
      </c>
    </row>
    <row r="84" spans="1:7" ht="24.95" customHeight="1" x14ac:dyDescent="0.25">
      <c r="A84" s="67"/>
      <c r="B84" s="68"/>
      <c r="C84" s="69"/>
      <c r="D84" s="75" t="s">
        <v>109</v>
      </c>
      <c r="E84" s="76">
        <v>54079.44</v>
      </c>
      <c r="F84" s="76">
        <f>F85</f>
        <v>21955.49</v>
      </c>
      <c r="G84" s="89"/>
    </row>
    <row r="85" spans="1:7" ht="24.95" customHeight="1" x14ac:dyDescent="0.25">
      <c r="A85" s="262">
        <v>3212</v>
      </c>
      <c r="B85" s="263"/>
      <c r="C85" s="264"/>
      <c r="D85" s="131" t="s">
        <v>173</v>
      </c>
      <c r="E85" s="76"/>
      <c r="F85" s="76">
        <v>21955.49</v>
      </c>
      <c r="G85" s="89"/>
    </row>
    <row r="86" spans="1:7" ht="24.95" customHeight="1" x14ac:dyDescent="0.25">
      <c r="A86" s="67"/>
      <c r="B86" s="68"/>
      <c r="C86" s="69"/>
      <c r="D86" s="75" t="s">
        <v>110</v>
      </c>
      <c r="E86" s="76">
        <v>5972.53</v>
      </c>
      <c r="F86" s="76">
        <f>F87</f>
        <v>3297.71</v>
      </c>
      <c r="G86" s="89"/>
    </row>
    <row r="87" spans="1:7" ht="24.95" customHeight="1" x14ac:dyDescent="0.25">
      <c r="A87" s="262">
        <v>3295</v>
      </c>
      <c r="B87" s="263"/>
      <c r="C87" s="264"/>
      <c r="D87" s="132" t="s">
        <v>197</v>
      </c>
      <c r="E87" s="76"/>
      <c r="F87" s="76">
        <v>3297.71</v>
      </c>
      <c r="G87" s="89"/>
    </row>
    <row r="88" spans="1:7" ht="24.95" customHeight="1" x14ac:dyDescent="0.25">
      <c r="A88" s="67"/>
      <c r="B88" s="68"/>
      <c r="C88" s="69"/>
      <c r="D88" s="75" t="s">
        <v>111</v>
      </c>
      <c r="E88" s="76">
        <v>1234.52</v>
      </c>
      <c r="F88" s="76">
        <f>F89</f>
        <v>667.27</v>
      </c>
      <c r="G88" s="89"/>
    </row>
    <row r="89" spans="1:7" ht="24.95" customHeight="1" x14ac:dyDescent="0.25">
      <c r="A89" s="262">
        <v>3237</v>
      </c>
      <c r="B89" s="263"/>
      <c r="C89" s="264"/>
      <c r="D89" s="131" t="s">
        <v>186</v>
      </c>
      <c r="E89" s="76"/>
      <c r="F89" s="76">
        <v>667.27</v>
      </c>
      <c r="G89" s="89"/>
    </row>
    <row r="90" spans="1:7" s="80" customFormat="1" ht="24.95" customHeight="1" x14ac:dyDescent="0.25">
      <c r="A90" s="250" t="s">
        <v>90</v>
      </c>
      <c r="B90" s="251"/>
      <c r="C90" s="252"/>
      <c r="D90" s="77" t="s">
        <v>53</v>
      </c>
      <c r="E90" s="78">
        <f>E91</f>
        <v>530.89</v>
      </c>
      <c r="F90" s="78">
        <f t="shared" ref="F90:F91" si="11">F91</f>
        <v>0</v>
      </c>
      <c r="G90" s="78">
        <f>(F90/E90)*100</f>
        <v>0</v>
      </c>
    </row>
    <row r="91" spans="1:7" ht="24.95" customHeight="1" x14ac:dyDescent="0.25">
      <c r="A91" s="244">
        <v>3</v>
      </c>
      <c r="B91" s="245"/>
      <c r="C91" s="246"/>
      <c r="D91" s="66" t="s">
        <v>19</v>
      </c>
      <c r="E91" s="57">
        <f>E92</f>
        <v>530.89</v>
      </c>
      <c r="F91" s="57">
        <f t="shared" si="11"/>
        <v>0</v>
      </c>
      <c r="G91" s="57"/>
    </row>
    <row r="92" spans="1:7" ht="24.95" customHeight="1" x14ac:dyDescent="0.25">
      <c r="A92" s="247">
        <v>31</v>
      </c>
      <c r="B92" s="248"/>
      <c r="C92" s="249"/>
      <c r="D92" s="66" t="s">
        <v>120</v>
      </c>
      <c r="E92" s="57">
        <v>530.89</v>
      </c>
      <c r="F92" s="57">
        <v>0</v>
      </c>
      <c r="G92" s="78">
        <f>(F92/E92)*100</f>
        <v>0</v>
      </c>
    </row>
    <row r="93" spans="1:7" ht="24.95" customHeight="1" x14ac:dyDescent="0.25">
      <c r="A93" s="256" t="s">
        <v>67</v>
      </c>
      <c r="B93" s="257"/>
      <c r="C93" s="258"/>
      <c r="D93" s="65" t="s">
        <v>68</v>
      </c>
      <c r="E93" s="72">
        <f>E94+E98+E113+E130+E134+E152+E155+E159+E132</f>
        <v>401069.92</v>
      </c>
      <c r="F93" s="72">
        <f>F94+F98+F113+F130+F134+F152+F155+F159+F132</f>
        <v>171902.49</v>
      </c>
      <c r="G93" s="72"/>
    </row>
    <row r="94" spans="1:7" s="81" customFormat="1" ht="24.95" customHeight="1" x14ac:dyDescent="0.2">
      <c r="A94" s="250" t="s">
        <v>87</v>
      </c>
      <c r="B94" s="251"/>
      <c r="C94" s="252"/>
      <c r="D94" s="77" t="s">
        <v>88</v>
      </c>
      <c r="E94" s="78">
        <f>E95</f>
        <v>1260.8599999999997</v>
      </c>
      <c r="F94" s="78">
        <f t="shared" ref="F94" si="12">F95</f>
        <v>0</v>
      </c>
      <c r="G94" s="78">
        <f>(F94/E94)*100</f>
        <v>0</v>
      </c>
    </row>
    <row r="95" spans="1:7" ht="24.95" customHeight="1" x14ac:dyDescent="0.25">
      <c r="A95" s="244">
        <v>3</v>
      </c>
      <c r="B95" s="245"/>
      <c r="C95" s="246"/>
      <c r="D95" s="36" t="s">
        <v>19</v>
      </c>
      <c r="E95" s="57">
        <f>E96+E97</f>
        <v>1260.8599999999997</v>
      </c>
      <c r="F95" s="57">
        <f t="shared" ref="F95" si="13">F96+F97</f>
        <v>0</v>
      </c>
      <c r="G95" s="57"/>
    </row>
    <row r="96" spans="1:7" ht="24.95" customHeight="1" x14ac:dyDescent="0.25">
      <c r="A96" s="247">
        <v>32</v>
      </c>
      <c r="B96" s="248"/>
      <c r="C96" s="249"/>
      <c r="D96" s="66" t="s">
        <v>122</v>
      </c>
      <c r="E96" s="57">
        <f>132.72+66.36+26.54+265.45+66.36+66.36+199.08+265.45+66.36+66.36</f>
        <v>1221.0399999999997</v>
      </c>
      <c r="F96" s="57">
        <v>0</v>
      </c>
      <c r="G96" s="78">
        <f>(F96/E96)*100</f>
        <v>0</v>
      </c>
    </row>
    <row r="97" spans="1:7" ht="36.75" customHeight="1" x14ac:dyDescent="0.25">
      <c r="A97" s="247">
        <v>37</v>
      </c>
      <c r="B97" s="248"/>
      <c r="C97" s="249"/>
      <c r="D97" s="73" t="s">
        <v>123</v>
      </c>
      <c r="E97" s="57">
        <v>39.82</v>
      </c>
      <c r="F97" s="57">
        <v>0</v>
      </c>
      <c r="G97" s="78">
        <f>(F97/E97)*100</f>
        <v>0</v>
      </c>
    </row>
    <row r="98" spans="1:7" s="81" customFormat="1" ht="24.95" customHeight="1" x14ac:dyDescent="0.2">
      <c r="A98" s="250" t="s">
        <v>113</v>
      </c>
      <c r="B98" s="251"/>
      <c r="C98" s="252"/>
      <c r="D98" s="77" t="s">
        <v>93</v>
      </c>
      <c r="E98" s="78">
        <f>E99+E112</f>
        <v>1791.4199999999998</v>
      </c>
      <c r="F98" s="78">
        <f>F99+F112</f>
        <v>1621.98</v>
      </c>
      <c r="G98" s="78">
        <f>(F98/E98)*100</f>
        <v>90.541581538667657</v>
      </c>
    </row>
    <row r="99" spans="1:7" ht="24.95" customHeight="1" x14ac:dyDescent="0.25">
      <c r="A99" s="247">
        <v>32</v>
      </c>
      <c r="B99" s="248"/>
      <c r="C99" s="249"/>
      <c r="D99" s="66" t="s">
        <v>29</v>
      </c>
      <c r="E99" s="57">
        <f>1646.82+114.6</f>
        <v>1761.4199999999998</v>
      </c>
      <c r="F99" s="57">
        <f>F100+F102+F104+F106+F108</f>
        <v>1621.98</v>
      </c>
      <c r="G99" s="78">
        <f>(F99/E99)*100</f>
        <v>92.08365977450012</v>
      </c>
    </row>
    <row r="100" spans="1:7" ht="24.95" customHeight="1" x14ac:dyDescent="0.25">
      <c r="A100" s="262">
        <v>321</v>
      </c>
      <c r="B100" s="263"/>
      <c r="C100" s="264"/>
      <c r="D100" s="131" t="s">
        <v>171</v>
      </c>
      <c r="E100" s="57"/>
      <c r="F100" s="57">
        <f>F101</f>
        <v>128.52000000000001</v>
      </c>
      <c r="G100" s="78"/>
    </row>
    <row r="101" spans="1:7" ht="24.95" customHeight="1" x14ac:dyDescent="0.25">
      <c r="A101" s="262">
        <v>3211</v>
      </c>
      <c r="B101" s="263"/>
      <c r="C101" s="264"/>
      <c r="D101" s="131" t="s">
        <v>172</v>
      </c>
      <c r="E101" s="57"/>
      <c r="F101" s="57">
        <v>128.52000000000001</v>
      </c>
      <c r="G101" s="78"/>
    </row>
    <row r="102" spans="1:7" ht="24.95" customHeight="1" x14ac:dyDescent="0.25">
      <c r="A102" s="262">
        <v>322</v>
      </c>
      <c r="B102" s="263"/>
      <c r="C102" s="264"/>
      <c r="D102" s="131" t="s">
        <v>176</v>
      </c>
      <c r="E102" s="57"/>
      <c r="F102" s="57">
        <f>F103</f>
        <v>1008.52</v>
      </c>
      <c r="G102" s="78"/>
    </row>
    <row r="103" spans="1:7" ht="24.95" customHeight="1" x14ac:dyDescent="0.25">
      <c r="A103" s="262">
        <v>3221</v>
      </c>
      <c r="B103" s="263"/>
      <c r="C103" s="264"/>
      <c r="D103" s="131" t="s">
        <v>177</v>
      </c>
      <c r="E103" s="57"/>
      <c r="F103" s="57">
        <v>1008.52</v>
      </c>
      <c r="G103" s="78"/>
    </row>
    <row r="104" spans="1:7" ht="24.95" customHeight="1" x14ac:dyDescent="0.25">
      <c r="A104" s="262">
        <v>323</v>
      </c>
      <c r="B104" s="263"/>
      <c r="C104" s="264"/>
      <c r="D104" s="131" t="s">
        <v>181</v>
      </c>
      <c r="E104" s="57"/>
      <c r="F104" s="57">
        <f>F105</f>
        <v>360.78</v>
      </c>
      <c r="G104" s="78"/>
    </row>
    <row r="105" spans="1:7" ht="24.95" customHeight="1" x14ac:dyDescent="0.25">
      <c r="A105" s="262">
        <v>3239</v>
      </c>
      <c r="B105" s="263"/>
      <c r="C105" s="264"/>
      <c r="D105" s="131" t="s">
        <v>188</v>
      </c>
      <c r="E105" s="57"/>
      <c r="F105" s="57">
        <v>360.78</v>
      </c>
      <c r="G105" s="78"/>
    </row>
    <row r="106" spans="1:7" ht="24.95" customHeight="1" x14ac:dyDescent="0.25">
      <c r="A106" s="262">
        <v>324</v>
      </c>
      <c r="B106" s="263"/>
      <c r="C106" s="264"/>
      <c r="D106" s="131" t="s">
        <v>193</v>
      </c>
      <c r="E106" s="57"/>
      <c r="F106" s="57">
        <f>F107</f>
        <v>62.01</v>
      </c>
      <c r="G106" s="78"/>
    </row>
    <row r="107" spans="1:7" ht="24.95" customHeight="1" x14ac:dyDescent="0.25">
      <c r="A107" s="262">
        <v>3241</v>
      </c>
      <c r="B107" s="263"/>
      <c r="C107" s="264"/>
      <c r="D107" s="131" t="s">
        <v>193</v>
      </c>
      <c r="E107" s="57"/>
      <c r="F107" s="57">
        <v>62.01</v>
      </c>
      <c r="G107" s="78"/>
    </row>
    <row r="108" spans="1:7" ht="24.95" customHeight="1" x14ac:dyDescent="0.25">
      <c r="A108" s="262">
        <v>329</v>
      </c>
      <c r="B108" s="263"/>
      <c r="C108" s="264"/>
      <c r="D108" s="131" t="s">
        <v>189</v>
      </c>
      <c r="E108" s="57"/>
      <c r="F108" s="57">
        <f>F110+F111+F109</f>
        <v>62.15</v>
      </c>
      <c r="G108" s="78"/>
    </row>
    <row r="109" spans="1:7" ht="24.95" customHeight="1" x14ac:dyDescent="0.25">
      <c r="A109" s="262">
        <v>3292</v>
      </c>
      <c r="B109" s="263"/>
      <c r="C109" s="264"/>
      <c r="D109" s="131" t="s">
        <v>190</v>
      </c>
      <c r="E109" s="57"/>
      <c r="F109" s="57">
        <v>19.32</v>
      </c>
      <c r="G109" s="78"/>
    </row>
    <row r="110" spans="1:7" ht="24.95" customHeight="1" x14ac:dyDescent="0.25">
      <c r="A110" s="262">
        <v>3293</v>
      </c>
      <c r="B110" s="263"/>
      <c r="C110" s="264"/>
      <c r="D110" s="131" t="s">
        <v>191</v>
      </c>
      <c r="E110" s="57"/>
      <c r="F110" s="57">
        <v>15.83</v>
      </c>
      <c r="G110" s="78"/>
    </row>
    <row r="111" spans="1:7" ht="24.95" customHeight="1" x14ac:dyDescent="0.25">
      <c r="A111" s="262">
        <v>3299</v>
      </c>
      <c r="B111" s="263"/>
      <c r="C111" s="264"/>
      <c r="D111" s="131" t="s">
        <v>189</v>
      </c>
      <c r="E111" s="57"/>
      <c r="F111" s="57">
        <v>27</v>
      </c>
      <c r="G111" s="78"/>
    </row>
    <row r="112" spans="1:7" ht="24.95" customHeight="1" x14ac:dyDescent="0.25">
      <c r="A112" s="247">
        <v>37</v>
      </c>
      <c r="B112" s="248"/>
      <c r="C112" s="249"/>
      <c r="D112" s="73" t="s">
        <v>44</v>
      </c>
      <c r="E112" s="57">
        <v>30</v>
      </c>
      <c r="F112" s="57">
        <v>0</v>
      </c>
      <c r="G112" s="78">
        <f>(F112/E112)*100</f>
        <v>0</v>
      </c>
    </row>
    <row r="113" spans="1:7" s="81" customFormat="1" ht="24.95" customHeight="1" x14ac:dyDescent="0.2">
      <c r="A113" s="250" t="s">
        <v>89</v>
      </c>
      <c r="B113" s="251"/>
      <c r="C113" s="252"/>
      <c r="D113" s="77" t="s">
        <v>124</v>
      </c>
      <c r="E113" s="78">
        <f>E114</f>
        <v>76054.45</v>
      </c>
      <c r="F113" s="78">
        <f>F114</f>
        <v>24609.719999999998</v>
      </c>
      <c r="G113" s="78">
        <f>(F113/E113)*100</f>
        <v>32.358027702521021</v>
      </c>
    </row>
    <row r="114" spans="1:7" ht="24.95" customHeight="1" x14ac:dyDescent="0.25">
      <c r="A114" s="244">
        <v>3</v>
      </c>
      <c r="B114" s="245"/>
      <c r="C114" s="246"/>
      <c r="D114" s="36" t="s">
        <v>19</v>
      </c>
      <c r="E114" s="57">
        <f>E115+E129</f>
        <v>76054.45</v>
      </c>
      <c r="F114" s="57">
        <f>F115+F129</f>
        <v>24609.719999999998</v>
      </c>
      <c r="G114" s="57"/>
    </row>
    <row r="115" spans="1:7" ht="24.95" customHeight="1" x14ac:dyDescent="0.25">
      <c r="A115" s="247">
        <v>32</v>
      </c>
      <c r="B115" s="248"/>
      <c r="C115" s="249"/>
      <c r="D115" s="66" t="s">
        <v>29</v>
      </c>
      <c r="E115" s="57">
        <f>3000+61000+500+3400+1000+200+3000+500+500+300+66.36+464.53+1000</f>
        <v>74930.89</v>
      </c>
      <c r="F115" s="57">
        <f>F116+F118+F123+F127</f>
        <v>24609.719999999998</v>
      </c>
      <c r="G115" s="78">
        <f>(F115/E115)*100</f>
        <v>32.843223936082964</v>
      </c>
    </row>
    <row r="116" spans="1:7" ht="24.95" customHeight="1" x14ac:dyDescent="0.25">
      <c r="A116" s="262">
        <v>321</v>
      </c>
      <c r="B116" s="263"/>
      <c r="C116" s="264"/>
      <c r="D116" s="131" t="s">
        <v>171</v>
      </c>
      <c r="E116" s="57"/>
      <c r="F116" s="57">
        <f>F117</f>
        <v>73</v>
      </c>
      <c r="G116" s="78"/>
    </row>
    <row r="117" spans="1:7" ht="24.95" customHeight="1" x14ac:dyDescent="0.25">
      <c r="A117" s="262">
        <v>3213</v>
      </c>
      <c r="B117" s="263"/>
      <c r="C117" s="264"/>
      <c r="D117" s="131" t="s">
        <v>174</v>
      </c>
      <c r="E117" s="57"/>
      <c r="F117" s="57">
        <v>73</v>
      </c>
      <c r="G117" s="78"/>
    </row>
    <row r="118" spans="1:7" ht="24.95" customHeight="1" x14ac:dyDescent="0.25">
      <c r="A118" s="262">
        <v>322</v>
      </c>
      <c r="B118" s="263"/>
      <c r="C118" s="264"/>
      <c r="D118" s="131" t="s">
        <v>176</v>
      </c>
      <c r="E118" s="57"/>
      <c r="F118" s="57">
        <f>SUM(F119:F122)</f>
        <v>22321.43</v>
      </c>
      <c r="G118" s="78"/>
    </row>
    <row r="119" spans="1:7" ht="24.95" customHeight="1" x14ac:dyDescent="0.25">
      <c r="A119" s="262">
        <v>3221</v>
      </c>
      <c r="B119" s="263"/>
      <c r="C119" s="264"/>
      <c r="D119" s="131" t="s">
        <v>177</v>
      </c>
      <c r="E119" s="57"/>
      <c r="F119" s="57">
        <v>1417.39</v>
      </c>
      <c r="G119" s="78"/>
    </row>
    <row r="120" spans="1:7" ht="24.95" customHeight="1" x14ac:dyDescent="0.25">
      <c r="A120" s="262">
        <v>3222</v>
      </c>
      <c r="B120" s="263"/>
      <c r="C120" s="264"/>
      <c r="D120" s="131" t="s">
        <v>178</v>
      </c>
      <c r="E120" s="57"/>
      <c r="F120" s="57">
        <v>20207.73</v>
      </c>
      <c r="G120" s="78"/>
    </row>
    <row r="121" spans="1:7" ht="24.95" customHeight="1" x14ac:dyDescent="0.25">
      <c r="A121" s="262">
        <v>3225</v>
      </c>
      <c r="B121" s="263"/>
      <c r="C121" s="264"/>
      <c r="D121" s="131" t="s">
        <v>180</v>
      </c>
      <c r="E121" s="57"/>
      <c r="F121" s="57">
        <v>417.08</v>
      </c>
      <c r="G121" s="78"/>
    </row>
    <row r="122" spans="1:7" ht="24.95" customHeight="1" x14ac:dyDescent="0.25">
      <c r="A122" s="262">
        <v>3227</v>
      </c>
      <c r="B122" s="263"/>
      <c r="C122" s="264"/>
      <c r="D122" s="131" t="s">
        <v>194</v>
      </c>
      <c r="E122" s="57"/>
      <c r="F122" s="57">
        <v>279.23</v>
      </c>
      <c r="G122" s="78"/>
    </row>
    <row r="123" spans="1:7" ht="24.95" customHeight="1" x14ac:dyDescent="0.25">
      <c r="A123" s="262">
        <v>323</v>
      </c>
      <c r="B123" s="263"/>
      <c r="C123" s="264"/>
      <c r="D123" s="131" t="s">
        <v>181</v>
      </c>
      <c r="E123" s="57"/>
      <c r="F123" s="57">
        <f>SUM(F124:F126)</f>
        <v>2093.42</v>
      </c>
      <c r="G123" s="78"/>
    </row>
    <row r="124" spans="1:7" ht="24.95" customHeight="1" x14ac:dyDescent="0.25">
      <c r="A124" s="262">
        <v>3234</v>
      </c>
      <c r="B124" s="263"/>
      <c r="C124" s="264"/>
      <c r="D124" s="131" t="s">
        <v>185</v>
      </c>
      <c r="E124" s="57"/>
      <c r="F124" s="57">
        <v>1736.32</v>
      </c>
      <c r="G124" s="78"/>
    </row>
    <row r="125" spans="1:7" ht="24.95" customHeight="1" x14ac:dyDescent="0.25">
      <c r="A125" s="262">
        <v>3236</v>
      </c>
      <c r="B125" s="263"/>
      <c r="C125" s="264"/>
      <c r="D125" s="132" t="s">
        <v>195</v>
      </c>
      <c r="E125" s="57"/>
      <c r="F125" s="57">
        <v>155.68</v>
      </c>
      <c r="G125" s="78"/>
    </row>
    <row r="126" spans="1:7" ht="24.95" customHeight="1" x14ac:dyDescent="0.25">
      <c r="A126" s="262">
        <v>3239</v>
      </c>
      <c r="B126" s="263"/>
      <c r="C126" s="264"/>
      <c r="D126" s="131" t="s">
        <v>188</v>
      </c>
      <c r="E126" s="57"/>
      <c r="F126" s="57">
        <v>201.42</v>
      </c>
      <c r="G126" s="78"/>
    </row>
    <row r="127" spans="1:7" ht="24.95" customHeight="1" x14ac:dyDescent="0.25">
      <c r="A127" s="262">
        <v>329</v>
      </c>
      <c r="B127" s="263"/>
      <c r="C127" s="264"/>
      <c r="D127" s="131" t="s">
        <v>189</v>
      </c>
      <c r="E127" s="57"/>
      <c r="F127" s="57">
        <f>F128</f>
        <v>121.87</v>
      </c>
      <c r="G127" s="78"/>
    </row>
    <row r="128" spans="1:7" ht="24.95" customHeight="1" x14ac:dyDescent="0.25">
      <c r="A128" s="262">
        <v>3291</v>
      </c>
      <c r="B128" s="263"/>
      <c r="C128" s="264"/>
      <c r="D128" s="131" t="s">
        <v>196</v>
      </c>
      <c r="E128" s="57"/>
      <c r="F128" s="57">
        <v>121.87</v>
      </c>
      <c r="G128" s="78"/>
    </row>
    <row r="129" spans="1:7" ht="24.95" customHeight="1" x14ac:dyDescent="0.25">
      <c r="A129" s="247">
        <v>37</v>
      </c>
      <c r="B129" s="248"/>
      <c r="C129" s="249"/>
      <c r="D129" s="73" t="s">
        <v>44</v>
      </c>
      <c r="E129" s="57">
        <v>1123.56</v>
      </c>
      <c r="F129" s="57">
        <v>0</v>
      </c>
      <c r="G129" s="78">
        <f>(F129/E129)*100</f>
        <v>0</v>
      </c>
    </row>
    <row r="130" spans="1:7" s="81" customFormat="1" ht="24.95" customHeight="1" x14ac:dyDescent="0.2">
      <c r="A130" s="250" t="s">
        <v>114</v>
      </c>
      <c r="B130" s="251"/>
      <c r="C130" s="252"/>
      <c r="D130" s="77" t="s">
        <v>95</v>
      </c>
      <c r="E130" s="78">
        <f>E131</f>
        <v>0</v>
      </c>
      <c r="F130" s="78">
        <f t="shared" ref="F130" si="14">F131</f>
        <v>0</v>
      </c>
      <c r="G130" s="78" t="e">
        <f>(F130/E130)*100</f>
        <v>#DIV/0!</v>
      </c>
    </row>
    <row r="131" spans="1:7" ht="24.95" customHeight="1" x14ac:dyDescent="0.25">
      <c r="A131" s="247">
        <v>32</v>
      </c>
      <c r="B131" s="248"/>
      <c r="C131" s="249"/>
      <c r="D131" s="66" t="s">
        <v>29</v>
      </c>
      <c r="E131" s="57">
        <v>0</v>
      </c>
      <c r="F131" s="57">
        <v>0</v>
      </c>
      <c r="G131" s="78" t="e">
        <f>(F131/E131)*100</f>
        <v>#DIV/0!</v>
      </c>
    </row>
    <row r="132" spans="1:7" ht="24.95" customHeight="1" x14ac:dyDescent="0.25">
      <c r="A132" s="250" t="s">
        <v>130</v>
      </c>
      <c r="B132" s="251"/>
      <c r="C132" s="252"/>
      <c r="D132" s="94" t="s">
        <v>131</v>
      </c>
      <c r="E132" s="100">
        <f>E133</f>
        <v>4718.59</v>
      </c>
      <c r="F132" s="211">
        <f>F133</f>
        <v>0</v>
      </c>
      <c r="G132" s="78">
        <f>(F132/E132)*100</f>
        <v>0</v>
      </c>
    </row>
    <row r="133" spans="1:7" ht="24.95" customHeight="1" x14ac:dyDescent="0.25">
      <c r="A133" s="247">
        <v>32</v>
      </c>
      <c r="B133" s="248"/>
      <c r="C133" s="249"/>
      <c r="D133" s="93" t="s">
        <v>29</v>
      </c>
      <c r="E133" s="57">
        <v>4718.59</v>
      </c>
      <c r="F133" s="57">
        <v>0</v>
      </c>
      <c r="G133" s="78">
        <f>(F133/E133)*100</f>
        <v>0</v>
      </c>
    </row>
    <row r="134" spans="1:7" s="81" customFormat="1" ht="24.95" customHeight="1" x14ac:dyDescent="0.2">
      <c r="A134" s="250" t="s">
        <v>85</v>
      </c>
      <c r="B134" s="251"/>
      <c r="C134" s="252"/>
      <c r="D134" s="77" t="s">
        <v>51</v>
      </c>
      <c r="E134" s="78">
        <f>E135</f>
        <v>315252.56</v>
      </c>
      <c r="F134" s="78">
        <f>F135</f>
        <v>145473.28999999998</v>
      </c>
      <c r="G134" s="78">
        <f t="shared" ref="G134:G187" si="15">(F134/E134)*100</f>
        <v>46.144998790810767</v>
      </c>
    </row>
    <row r="135" spans="1:7" ht="24.95" customHeight="1" x14ac:dyDescent="0.25">
      <c r="A135" s="244">
        <v>3</v>
      </c>
      <c r="B135" s="245"/>
      <c r="C135" s="246"/>
      <c r="D135" s="66" t="s">
        <v>19</v>
      </c>
      <c r="E135" s="57">
        <f>E136+E147+E151</f>
        <v>315252.56</v>
      </c>
      <c r="F135" s="57">
        <f>F136+F147+F151</f>
        <v>145473.28999999998</v>
      </c>
      <c r="G135" s="78"/>
    </row>
    <row r="136" spans="1:7" ht="24.95" customHeight="1" x14ac:dyDescent="0.25">
      <c r="A136" s="247">
        <v>32</v>
      </c>
      <c r="B136" s="248"/>
      <c r="C136" s="249"/>
      <c r="D136" s="36" t="s">
        <v>29</v>
      </c>
      <c r="E136" s="57">
        <f>66.36+66.36+265.45+144000+91000+398.17+66.36+200+800+38.08+100+100+472.17+400+663.61</f>
        <v>238636.56</v>
      </c>
      <c r="F136" s="57">
        <f>F137+F139+F141+F143</f>
        <v>144376.91999999998</v>
      </c>
      <c r="G136" s="78">
        <f t="shared" si="15"/>
        <v>60.500754787950342</v>
      </c>
    </row>
    <row r="137" spans="1:7" ht="24.95" customHeight="1" x14ac:dyDescent="0.25">
      <c r="A137" s="262">
        <v>321</v>
      </c>
      <c r="B137" s="263"/>
      <c r="C137" s="264"/>
      <c r="D137" s="131" t="s">
        <v>171</v>
      </c>
      <c r="E137" s="57"/>
      <c r="F137" s="57">
        <f>F138</f>
        <v>148.46</v>
      </c>
      <c r="G137" s="78"/>
    </row>
    <row r="138" spans="1:7" ht="24.95" customHeight="1" x14ac:dyDescent="0.25">
      <c r="A138" s="262">
        <v>3211</v>
      </c>
      <c r="B138" s="263"/>
      <c r="C138" s="264"/>
      <c r="D138" s="131" t="s">
        <v>172</v>
      </c>
      <c r="E138" s="57"/>
      <c r="F138" s="57">
        <v>148.46</v>
      </c>
      <c r="G138" s="78"/>
    </row>
    <row r="139" spans="1:7" ht="24.95" customHeight="1" x14ac:dyDescent="0.25">
      <c r="A139" s="262">
        <v>322</v>
      </c>
      <c r="B139" s="263"/>
      <c r="C139" s="264"/>
      <c r="D139" s="131" t="s">
        <v>176</v>
      </c>
      <c r="E139" s="57"/>
      <c r="F139" s="57">
        <f>F140</f>
        <v>134.41</v>
      </c>
      <c r="G139" s="78"/>
    </row>
    <row r="140" spans="1:7" ht="24.95" customHeight="1" x14ac:dyDescent="0.25">
      <c r="A140" s="262">
        <v>3221</v>
      </c>
      <c r="B140" s="263"/>
      <c r="C140" s="264"/>
      <c r="D140" s="131" t="s">
        <v>177</v>
      </c>
      <c r="E140" s="57"/>
      <c r="F140" s="57">
        <v>134.41</v>
      </c>
      <c r="G140" s="78"/>
    </row>
    <row r="141" spans="1:7" ht="24.95" customHeight="1" x14ac:dyDescent="0.25">
      <c r="A141" s="262">
        <v>323</v>
      </c>
      <c r="B141" s="263"/>
      <c r="C141" s="264"/>
      <c r="D141" s="131" t="s">
        <v>181</v>
      </c>
      <c r="E141" s="57"/>
      <c r="F141" s="57">
        <f>F142</f>
        <v>143237.19</v>
      </c>
      <c r="G141" s="78"/>
    </row>
    <row r="142" spans="1:7" ht="24.95" customHeight="1" x14ac:dyDescent="0.25">
      <c r="A142" s="262">
        <v>3239</v>
      </c>
      <c r="B142" s="263"/>
      <c r="C142" s="264"/>
      <c r="D142" s="131" t="s">
        <v>188</v>
      </c>
      <c r="E142" s="57"/>
      <c r="F142" s="57">
        <v>143237.19</v>
      </c>
      <c r="G142" s="78"/>
    </row>
    <row r="143" spans="1:7" ht="24.95" customHeight="1" x14ac:dyDescent="0.25">
      <c r="A143" s="262">
        <v>329</v>
      </c>
      <c r="B143" s="263"/>
      <c r="C143" s="264"/>
      <c r="D143" s="131" t="s">
        <v>189</v>
      </c>
      <c r="E143" s="57"/>
      <c r="F143" s="57">
        <f>SUM(F144:F146)</f>
        <v>856.8599999999999</v>
      </c>
      <c r="G143" s="78"/>
    </row>
    <row r="144" spans="1:7" ht="24.95" customHeight="1" x14ac:dyDescent="0.25">
      <c r="A144" s="262">
        <v>3291</v>
      </c>
      <c r="B144" s="263"/>
      <c r="C144" s="264"/>
      <c r="D144" s="131" t="s">
        <v>196</v>
      </c>
      <c r="E144" s="57"/>
      <c r="F144" s="57">
        <v>472.17</v>
      </c>
      <c r="G144" s="78"/>
    </row>
    <row r="145" spans="1:7" ht="24.95" customHeight="1" x14ac:dyDescent="0.25">
      <c r="A145" s="262">
        <v>3293</v>
      </c>
      <c r="B145" s="263"/>
      <c r="C145" s="264"/>
      <c r="D145" s="131" t="s">
        <v>191</v>
      </c>
      <c r="E145" s="57"/>
      <c r="F145" s="57">
        <v>40.24</v>
      </c>
      <c r="G145" s="78"/>
    </row>
    <row r="146" spans="1:7" ht="24.95" customHeight="1" x14ac:dyDescent="0.25">
      <c r="A146" s="262">
        <v>3299</v>
      </c>
      <c r="B146" s="263"/>
      <c r="C146" s="264"/>
      <c r="D146" s="131" t="s">
        <v>189</v>
      </c>
      <c r="E146" s="57"/>
      <c r="F146" s="57">
        <v>344.45</v>
      </c>
      <c r="G146" s="78"/>
    </row>
    <row r="147" spans="1:7" ht="24.95" customHeight="1" x14ac:dyDescent="0.25">
      <c r="A147" s="247">
        <v>37</v>
      </c>
      <c r="B147" s="248"/>
      <c r="C147" s="249"/>
      <c r="D147" s="73" t="s">
        <v>44</v>
      </c>
      <c r="E147" s="57">
        <f>1061.78+73130.27</f>
        <v>74192.05</v>
      </c>
      <c r="F147" s="57">
        <f>F148</f>
        <v>1096.3699999999999</v>
      </c>
      <c r="G147" s="78">
        <f t="shared" si="15"/>
        <v>1.4777459309993455</v>
      </c>
    </row>
    <row r="148" spans="1:7" ht="24.95" customHeight="1" x14ac:dyDescent="0.25">
      <c r="A148" s="262">
        <v>372</v>
      </c>
      <c r="B148" s="263"/>
      <c r="C148" s="264"/>
      <c r="D148" s="131" t="s">
        <v>201</v>
      </c>
      <c r="E148" s="57"/>
      <c r="F148" s="57">
        <f>F149+F150</f>
        <v>1096.3699999999999</v>
      </c>
      <c r="G148" s="78"/>
    </row>
    <row r="149" spans="1:7" ht="24.95" customHeight="1" x14ac:dyDescent="0.25">
      <c r="A149" s="262">
        <v>3721</v>
      </c>
      <c r="B149" s="263"/>
      <c r="C149" s="264"/>
      <c r="D149" s="131" t="s">
        <v>202</v>
      </c>
      <c r="E149" s="57"/>
      <c r="F149" s="57">
        <v>987.51</v>
      </c>
      <c r="G149" s="78"/>
    </row>
    <row r="150" spans="1:7" ht="24.95" customHeight="1" x14ac:dyDescent="0.25">
      <c r="A150" s="262">
        <v>3722</v>
      </c>
      <c r="B150" s="263"/>
      <c r="C150" s="264"/>
      <c r="D150" s="131" t="s">
        <v>203</v>
      </c>
      <c r="E150" s="57"/>
      <c r="F150" s="57">
        <v>108.86</v>
      </c>
      <c r="G150" s="78"/>
    </row>
    <row r="151" spans="1:7" ht="24.95" customHeight="1" x14ac:dyDescent="0.25">
      <c r="A151" s="247">
        <v>38</v>
      </c>
      <c r="B151" s="248"/>
      <c r="C151" s="249"/>
      <c r="D151" s="99" t="s">
        <v>129</v>
      </c>
      <c r="E151" s="57">
        <v>2423.9499999999998</v>
      </c>
      <c r="F151" s="57">
        <v>0</v>
      </c>
      <c r="G151" s="78">
        <f t="shared" si="15"/>
        <v>0</v>
      </c>
    </row>
    <row r="152" spans="1:7" s="81" customFormat="1" ht="24.95" customHeight="1" x14ac:dyDescent="0.2">
      <c r="A152" s="250" t="s">
        <v>117</v>
      </c>
      <c r="B152" s="251"/>
      <c r="C152" s="252"/>
      <c r="D152" s="77" t="s">
        <v>96</v>
      </c>
      <c r="E152" s="78">
        <f>E153</f>
        <v>663.61</v>
      </c>
      <c r="F152" s="78">
        <f t="shared" ref="F152:F153" si="16">F153</f>
        <v>0</v>
      </c>
      <c r="G152" s="78">
        <f t="shared" si="15"/>
        <v>0</v>
      </c>
    </row>
    <row r="153" spans="1:7" ht="24.95" customHeight="1" x14ac:dyDescent="0.25">
      <c r="A153" s="244">
        <v>3</v>
      </c>
      <c r="B153" s="245"/>
      <c r="C153" s="246"/>
      <c r="D153" s="66" t="s">
        <v>19</v>
      </c>
      <c r="E153" s="57">
        <f>E154</f>
        <v>663.61</v>
      </c>
      <c r="F153" s="57">
        <f t="shared" si="16"/>
        <v>0</v>
      </c>
      <c r="G153" s="78"/>
    </row>
    <row r="154" spans="1:7" ht="24.95" customHeight="1" x14ac:dyDescent="0.25">
      <c r="A154" s="247">
        <v>32</v>
      </c>
      <c r="B154" s="248"/>
      <c r="C154" s="249"/>
      <c r="D154" s="66" t="s">
        <v>29</v>
      </c>
      <c r="E154" s="57">
        <v>663.61</v>
      </c>
      <c r="F154" s="57">
        <v>0</v>
      </c>
      <c r="G154" s="78">
        <f t="shared" si="15"/>
        <v>0</v>
      </c>
    </row>
    <row r="155" spans="1:7" s="81" customFormat="1" ht="24.95" customHeight="1" x14ac:dyDescent="0.2">
      <c r="A155" s="250" t="s">
        <v>90</v>
      </c>
      <c r="B155" s="251"/>
      <c r="C155" s="252"/>
      <c r="D155" s="77" t="s">
        <v>53</v>
      </c>
      <c r="E155" s="78">
        <f>E156</f>
        <v>1116.07</v>
      </c>
      <c r="F155" s="78">
        <f t="shared" ref="F155" si="17">F156</f>
        <v>197.5</v>
      </c>
      <c r="G155" s="78">
        <f t="shared" si="15"/>
        <v>17.696022650908994</v>
      </c>
    </row>
    <row r="156" spans="1:7" ht="24.95" customHeight="1" x14ac:dyDescent="0.25">
      <c r="A156" s="247">
        <v>32</v>
      </c>
      <c r="B156" s="248"/>
      <c r="C156" s="249"/>
      <c r="D156" s="66" t="s">
        <v>29</v>
      </c>
      <c r="E156" s="57">
        <f>199.09+66.36+199.08+26.54+225+300+100</f>
        <v>1116.07</v>
      </c>
      <c r="F156" s="57">
        <f>F157</f>
        <v>197.5</v>
      </c>
      <c r="G156" s="78">
        <f t="shared" si="15"/>
        <v>17.696022650908994</v>
      </c>
    </row>
    <row r="157" spans="1:7" ht="24.95" customHeight="1" x14ac:dyDescent="0.25">
      <c r="A157" s="262">
        <v>321</v>
      </c>
      <c r="B157" s="263"/>
      <c r="C157" s="264"/>
      <c r="D157" s="131" t="s">
        <v>171</v>
      </c>
      <c r="E157" s="57"/>
      <c r="F157" s="57">
        <f>F158</f>
        <v>197.5</v>
      </c>
      <c r="G157" s="78"/>
    </row>
    <row r="158" spans="1:7" ht="24.95" customHeight="1" x14ac:dyDescent="0.25">
      <c r="A158" s="262">
        <v>3211</v>
      </c>
      <c r="B158" s="263"/>
      <c r="C158" s="264"/>
      <c r="D158" s="131" t="s">
        <v>172</v>
      </c>
      <c r="E158" s="57"/>
      <c r="F158" s="57">
        <v>197.5</v>
      </c>
      <c r="G158" s="78"/>
    </row>
    <row r="159" spans="1:7" s="80" customFormat="1" ht="24.95" customHeight="1" x14ac:dyDescent="0.25">
      <c r="A159" s="250" t="s">
        <v>121</v>
      </c>
      <c r="B159" s="251"/>
      <c r="C159" s="252"/>
      <c r="D159" s="82" t="s">
        <v>98</v>
      </c>
      <c r="E159" s="78">
        <f>E160</f>
        <v>212.36</v>
      </c>
      <c r="F159" s="78">
        <f t="shared" ref="F159" si="18">F160</f>
        <v>0</v>
      </c>
      <c r="G159" s="78">
        <f t="shared" si="15"/>
        <v>0</v>
      </c>
    </row>
    <row r="160" spans="1:7" ht="24.95" customHeight="1" x14ac:dyDescent="0.25">
      <c r="A160" s="247">
        <v>32</v>
      </c>
      <c r="B160" s="248"/>
      <c r="C160" s="249"/>
      <c r="D160" s="66" t="s">
        <v>29</v>
      </c>
      <c r="E160" s="57">
        <f>212.36</f>
        <v>212.36</v>
      </c>
      <c r="F160" s="57">
        <v>0</v>
      </c>
      <c r="G160" s="78">
        <f t="shared" si="15"/>
        <v>0</v>
      </c>
    </row>
    <row r="161" spans="1:7" ht="24.95" customHeight="1" x14ac:dyDescent="0.25">
      <c r="A161" s="256" t="s">
        <v>69</v>
      </c>
      <c r="B161" s="257"/>
      <c r="C161" s="258"/>
      <c r="D161" s="65" t="s">
        <v>70</v>
      </c>
      <c r="E161" s="72">
        <f>E163+E165+E167</f>
        <v>359.26</v>
      </c>
      <c r="F161" s="72">
        <f>F163+F165+F167</f>
        <v>0</v>
      </c>
      <c r="G161" s="72"/>
    </row>
    <row r="162" spans="1:7" s="81" customFormat="1" ht="24.95" customHeight="1" x14ac:dyDescent="0.2">
      <c r="A162" s="250" t="s">
        <v>87</v>
      </c>
      <c r="B162" s="251"/>
      <c r="C162" s="252"/>
      <c r="D162" s="101" t="s">
        <v>52</v>
      </c>
      <c r="E162" s="78">
        <f>E163</f>
        <v>159.26</v>
      </c>
      <c r="F162" s="78">
        <f>F163</f>
        <v>0</v>
      </c>
      <c r="G162" s="78">
        <f t="shared" si="15"/>
        <v>0</v>
      </c>
    </row>
    <row r="163" spans="1:7" ht="24.95" customHeight="1" x14ac:dyDescent="0.25">
      <c r="A163" s="247">
        <v>34</v>
      </c>
      <c r="B163" s="248"/>
      <c r="C163" s="249"/>
      <c r="D163" s="66" t="s">
        <v>43</v>
      </c>
      <c r="E163" s="57">
        <f>66.36+26.54+66.36</f>
        <v>159.26</v>
      </c>
      <c r="F163" s="57">
        <v>0</v>
      </c>
      <c r="G163" s="78">
        <f t="shared" si="15"/>
        <v>0</v>
      </c>
    </row>
    <row r="164" spans="1:7" s="81" customFormat="1" ht="24.95" customHeight="1" x14ac:dyDescent="0.2">
      <c r="A164" s="250" t="s">
        <v>113</v>
      </c>
      <c r="B164" s="251"/>
      <c r="C164" s="252"/>
      <c r="D164" s="101" t="s">
        <v>93</v>
      </c>
      <c r="E164" s="78">
        <f>E165</f>
        <v>0</v>
      </c>
      <c r="F164" s="78">
        <f>F165</f>
        <v>0</v>
      </c>
      <c r="G164" s="78" t="e">
        <f t="shared" si="15"/>
        <v>#DIV/0!</v>
      </c>
    </row>
    <row r="165" spans="1:7" ht="24.95" customHeight="1" x14ac:dyDescent="0.25">
      <c r="A165" s="247">
        <v>34</v>
      </c>
      <c r="B165" s="248"/>
      <c r="C165" s="249"/>
      <c r="D165" s="66" t="s">
        <v>43</v>
      </c>
      <c r="E165" s="57">
        <v>0</v>
      </c>
      <c r="F165" s="57">
        <v>0</v>
      </c>
      <c r="G165" s="78" t="e">
        <f t="shared" si="15"/>
        <v>#DIV/0!</v>
      </c>
    </row>
    <row r="166" spans="1:7" s="81" customFormat="1" ht="24.95" customHeight="1" x14ac:dyDescent="0.2">
      <c r="A166" s="250" t="s">
        <v>89</v>
      </c>
      <c r="B166" s="251"/>
      <c r="C166" s="252"/>
      <c r="D166" s="101" t="s">
        <v>112</v>
      </c>
      <c r="E166" s="78">
        <f>E167</f>
        <v>200</v>
      </c>
      <c r="F166" s="78">
        <f>F167</f>
        <v>0</v>
      </c>
      <c r="G166" s="78">
        <f t="shared" si="15"/>
        <v>0</v>
      </c>
    </row>
    <row r="167" spans="1:7" ht="24.95" customHeight="1" x14ac:dyDescent="0.25">
      <c r="A167" s="247">
        <v>34</v>
      </c>
      <c r="B167" s="248"/>
      <c r="C167" s="249"/>
      <c r="D167" s="66" t="s">
        <v>43</v>
      </c>
      <c r="E167" s="57">
        <v>200</v>
      </c>
      <c r="F167" s="57">
        <v>0</v>
      </c>
      <c r="G167" s="78">
        <f t="shared" si="15"/>
        <v>0</v>
      </c>
    </row>
    <row r="168" spans="1:7" ht="24.95" customHeight="1" x14ac:dyDescent="0.25">
      <c r="A168" s="256" t="s">
        <v>71</v>
      </c>
      <c r="B168" s="257"/>
      <c r="C168" s="258"/>
      <c r="D168" s="65" t="s">
        <v>72</v>
      </c>
      <c r="E168" s="72">
        <f>E170+E172+E175+E178+E185+E182</f>
        <v>39650.300000000003</v>
      </c>
      <c r="F168" s="72">
        <f>F170+F172+F175+F178+F185+F182</f>
        <v>8394.2900000000009</v>
      </c>
      <c r="G168" s="72"/>
    </row>
    <row r="169" spans="1:7" s="81" customFormat="1" ht="24.95" customHeight="1" x14ac:dyDescent="0.2">
      <c r="A169" s="250" t="s">
        <v>87</v>
      </c>
      <c r="B169" s="251"/>
      <c r="C169" s="252"/>
      <c r="D169" s="101" t="s">
        <v>52</v>
      </c>
      <c r="E169" s="78">
        <f>E170</f>
        <v>1924.49</v>
      </c>
      <c r="F169" s="78">
        <f>F170</f>
        <v>0</v>
      </c>
      <c r="G169" s="78">
        <f t="shared" si="15"/>
        <v>0</v>
      </c>
    </row>
    <row r="170" spans="1:7" ht="24.95" customHeight="1" x14ac:dyDescent="0.25">
      <c r="A170" s="247">
        <v>42</v>
      </c>
      <c r="B170" s="248"/>
      <c r="C170" s="249"/>
      <c r="D170" s="66" t="s">
        <v>37</v>
      </c>
      <c r="E170" s="57">
        <f>1327.23+265.45+66.36+265.45</f>
        <v>1924.49</v>
      </c>
      <c r="F170" s="57">
        <v>0</v>
      </c>
      <c r="G170" s="78">
        <f t="shared" si="15"/>
        <v>0</v>
      </c>
    </row>
    <row r="171" spans="1:7" s="81" customFormat="1" ht="24.95" customHeight="1" x14ac:dyDescent="0.2">
      <c r="A171" s="250" t="s">
        <v>113</v>
      </c>
      <c r="B171" s="251"/>
      <c r="C171" s="252"/>
      <c r="D171" s="101" t="s">
        <v>93</v>
      </c>
      <c r="E171" s="78">
        <f>E172</f>
        <v>1561.7</v>
      </c>
      <c r="F171" s="78">
        <f>F172</f>
        <v>1388</v>
      </c>
      <c r="G171" s="78">
        <f t="shared" si="15"/>
        <v>88.877505282704732</v>
      </c>
    </row>
    <row r="172" spans="1:7" ht="24.95" customHeight="1" x14ac:dyDescent="0.25">
      <c r="A172" s="247">
        <v>42</v>
      </c>
      <c r="B172" s="248"/>
      <c r="C172" s="249"/>
      <c r="D172" s="66" t="s">
        <v>37</v>
      </c>
      <c r="E172" s="57">
        <f>350+1211.7</f>
        <v>1561.7</v>
      </c>
      <c r="F172" s="57">
        <f>F173</f>
        <v>1388</v>
      </c>
      <c r="G172" s="78">
        <f t="shared" si="15"/>
        <v>88.877505282704732</v>
      </c>
    </row>
    <row r="173" spans="1:7" ht="24.95" customHeight="1" x14ac:dyDescent="0.25">
      <c r="A173" s="262">
        <v>4221</v>
      </c>
      <c r="B173" s="263"/>
      <c r="C173" s="264"/>
      <c r="D173" s="132" t="s">
        <v>205</v>
      </c>
      <c r="E173" s="57"/>
      <c r="F173" s="57">
        <f>1038+350</f>
        <v>1388</v>
      </c>
      <c r="G173" s="78"/>
    </row>
    <row r="174" spans="1:7" s="81" customFormat="1" ht="24.95" customHeight="1" x14ac:dyDescent="0.2">
      <c r="A174" s="250" t="s">
        <v>89</v>
      </c>
      <c r="B174" s="251"/>
      <c r="C174" s="252"/>
      <c r="D174" s="101" t="s">
        <v>112</v>
      </c>
      <c r="E174" s="78">
        <f>E175</f>
        <v>13400</v>
      </c>
      <c r="F174" s="78">
        <f>F175</f>
        <v>126.07</v>
      </c>
      <c r="G174" s="78">
        <f t="shared" si="15"/>
        <v>0.94082089552238801</v>
      </c>
    </row>
    <row r="175" spans="1:7" ht="24.95" customHeight="1" x14ac:dyDescent="0.25">
      <c r="A175" s="247">
        <v>42</v>
      </c>
      <c r="B175" s="248"/>
      <c r="C175" s="249"/>
      <c r="D175" s="66" t="s">
        <v>37</v>
      </c>
      <c r="E175" s="57">
        <f>2200+11200</f>
        <v>13400</v>
      </c>
      <c r="F175" s="57">
        <f>F176</f>
        <v>126.07</v>
      </c>
      <c r="G175" s="78">
        <f t="shared" si="15"/>
        <v>0.94082089552238801</v>
      </c>
    </row>
    <row r="176" spans="1:7" ht="24.95" customHeight="1" x14ac:dyDescent="0.25">
      <c r="A176" s="262">
        <v>4221</v>
      </c>
      <c r="B176" s="263"/>
      <c r="C176" s="264"/>
      <c r="D176" s="132" t="s">
        <v>205</v>
      </c>
      <c r="E176" s="57"/>
      <c r="F176" s="57">
        <v>126.07</v>
      </c>
      <c r="G176" s="78"/>
    </row>
    <row r="177" spans="1:7" s="81" customFormat="1" ht="24.95" customHeight="1" x14ac:dyDescent="0.2">
      <c r="A177" s="250" t="s">
        <v>114</v>
      </c>
      <c r="B177" s="251"/>
      <c r="C177" s="252"/>
      <c r="D177" s="101" t="s">
        <v>95</v>
      </c>
      <c r="E177" s="78">
        <f>E178</f>
        <v>6037.37</v>
      </c>
      <c r="F177" s="78">
        <f>F178</f>
        <v>6008.93</v>
      </c>
      <c r="G177" s="78">
        <f t="shared" si="15"/>
        <v>99.52893395634193</v>
      </c>
    </row>
    <row r="178" spans="1:7" ht="24.95" customHeight="1" x14ac:dyDescent="0.25">
      <c r="A178" s="247">
        <v>42</v>
      </c>
      <c r="B178" s="248"/>
      <c r="C178" s="249"/>
      <c r="D178" s="66" t="s">
        <v>37</v>
      </c>
      <c r="E178" s="57">
        <f>6037.37</f>
        <v>6037.37</v>
      </c>
      <c r="F178" s="57">
        <f>F179+F180</f>
        <v>6008.93</v>
      </c>
      <c r="G178" s="78">
        <f t="shared" si="15"/>
        <v>99.52893395634193</v>
      </c>
    </row>
    <row r="179" spans="1:7" ht="24.95" customHeight="1" x14ac:dyDescent="0.25">
      <c r="A179" s="262">
        <v>4221</v>
      </c>
      <c r="B179" s="263"/>
      <c r="C179" s="264"/>
      <c r="D179" s="132" t="s">
        <v>205</v>
      </c>
      <c r="E179" s="57"/>
      <c r="F179" s="57">
        <v>2723.93</v>
      </c>
      <c r="G179" s="78"/>
    </row>
    <row r="180" spans="1:7" ht="24.95" customHeight="1" x14ac:dyDescent="0.25">
      <c r="A180" s="262">
        <v>4227</v>
      </c>
      <c r="B180" s="263"/>
      <c r="C180" s="264"/>
      <c r="D180" s="131" t="s">
        <v>206</v>
      </c>
      <c r="E180" s="57"/>
      <c r="F180" s="57">
        <v>3285</v>
      </c>
      <c r="G180" s="78"/>
    </row>
    <row r="181" spans="1:7" s="212" customFormat="1" ht="24.95" customHeight="1" x14ac:dyDescent="0.2">
      <c r="A181" s="250" t="s">
        <v>90</v>
      </c>
      <c r="B181" s="251"/>
      <c r="C181" s="252"/>
      <c r="D181" s="101" t="s">
        <v>53</v>
      </c>
      <c r="E181" s="211">
        <f>E182</f>
        <v>2127.23</v>
      </c>
      <c r="F181" s="211">
        <f>F182</f>
        <v>800</v>
      </c>
      <c r="G181" s="78">
        <f t="shared" si="15"/>
        <v>37.607592973021255</v>
      </c>
    </row>
    <row r="182" spans="1:7" ht="24.95" customHeight="1" x14ac:dyDescent="0.25">
      <c r="A182" s="247">
        <v>42</v>
      </c>
      <c r="B182" s="248"/>
      <c r="C182" s="249"/>
      <c r="D182" s="93" t="s">
        <v>37</v>
      </c>
      <c r="E182" s="57">
        <f>800+1327.23</f>
        <v>2127.23</v>
      </c>
      <c r="F182" s="57">
        <f>F183</f>
        <v>800</v>
      </c>
      <c r="G182" s="78">
        <f t="shared" si="15"/>
        <v>37.607592973021255</v>
      </c>
    </row>
    <row r="183" spans="1:7" ht="24.95" customHeight="1" x14ac:dyDescent="0.25">
      <c r="A183" s="262">
        <v>4223</v>
      </c>
      <c r="B183" s="263"/>
      <c r="C183" s="264"/>
      <c r="D183" s="133" t="s">
        <v>207</v>
      </c>
      <c r="E183" s="57"/>
      <c r="F183" s="57">
        <v>800</v>
      </c>
      <c r="G183" s="78"/>
    </row>
    <row r="184" spans="1:7" s="81" customFormat="1" ht="24.95" customHeight="1" x14ac:dyDescent="0.2">
      <c r="A184" s="250" t="s">
        <v>85</v>
      </c>
      <c r="B184" s="251"/>
      <c r="C184" s="252"/>
      <c r="D184" s="101" t="s">
        <v>51</v>
      </c>
      <c r="E184" s="78">
        <f>E185</f>
        <v>14599.51</v>
      </c>
      <c r="F184" s="78">
        <f>F185</f>
        <v>71.290000000000006</v>
      </c>
      <c r="G184" s="78">
        <f t="shared" si="15"/>
        <v>0.48830405951980582</v>
      </c>
    </row>
    <row r="185" spans="1:7" ht="24.95" customHeight="1" x14ac:dyDescent="0.25">
      <c r="A185" s="247">
        <v>42</v>
      </c>
      <c r="B185" s="248"/>
      <c r="C185" s="249"/>
      <c r="D185" s="66" t="s">
        <v>37</v>
      </c>
      <c r="E185" s="57">
        <f>E186+E187</f>
        <v>14599.51</v>
      </c>
      <c r="F185" s="57">
        <f>F186+F187</f>
        <v>71.290000000000006</v>
      </c>
      <c r="G185" s="78">
        <f t="shared" si="15"/>
        <v>0.48830405951980582</v>
      </c>
    </row>
    <row r="186" spans="1:7" ht="24.95" customHeight="1" x14ac:dyDescent="0.25">
      <c r="A186" s="67"/>
      <c r="B186" s="68"/>
      <c r="C186" s="69"/>
      <c r="D186" s="75" t="s">
        <v>115</v>
      </c>
      <c r="E186" s="76">
        <v>1327.23</v>
      </c>
      <c r="F186" s="76"/>
      <c r="G186" s="78">
        <f t="shared" si="15"/>
        <v>0</v>
      </c>
    </row>
    <row r="187" spans="1:7" ht="24.95" customHeight="1" x14ac:dyDescent="0.25">
      <c r="A187" s="247"/>
      <c r="B187" s="248"/>
      <c r="C187" s="249"/>
      <c r="D187" s="75" t="s">
        <v>116</v>
      </c>
      <c r="E187" s="76">
        <v>13272.28</v>
      </c>
      <c r="F187" s="76">
        <f>F188</f>
        <v>71.290000000000006</v>
      </c>
      <c r="G187" s="78">
        <f t="shared" si="15"/>
        <v>0.53713453905432973</v>
      </c>
    </row>
    <row r="188" spans="1:7" ht="24.95" customHeight="1" x14ac:dyDescent="0.25">
      <c r="A188" s="262">
        <v>4241</v>
      </c>
      <c r="B188" s="263"/>
      <c r="C188" s="264"/>
      <c r="D188" s="132" t="s">
        <v>209</v>
      </c>
      <c r="E188" s="76"/>
      <c r="F188" s="76">
        <v>71.290000000000006</v>
      </c>
      <c r="G188" s="78"/>
    </row>
    <row r="189" spans="1:7" ht="24.95" customHeight="1" x14ac:dyDescent="0.25">
      <c r="A189" s="253" t="s">
        <v>73</v>
      </c>
      <c r="B189" s="254"/>
      <c r="C189" s="255"/>
      <c r="D189" s="71" t="s">
        <v>74</v>
      </c>
      <c r="E189" s="74">
        <f>E190+E195+E208+E212+E228+E259+E264</f>
        <v>321229.03000000003</v>
      </c>
      <c r="F189" s="74">
        <f>F190+F195+F208+F212+F228+F259+F264</f>
        <v>133409.59</v>
      </c>
      <c r="G189" s="74"/>
    </row>
    <row r="190" spans="1:7" ht="31.9" customHeight="1" x14ac:dyDescent="0.25">
      <c r="A190" s="256" t="s">
        <v>75</v>
      </c>
      <c r="B190" s="257"/>
      <c r="C190" s="258"/>
      <c r="D190" s="65" t="s">
        <v>105</v>
      </c>
      <c r="E190" s="72">
        <f>E192</f>
        <v>2243.02</v>
      </c>
      <c r="F190" s="72">
        <f t="shared" ref="F190" si="19">F192</f>
        <v>0</v>
      </c>
      <c r="G190" s="72"/>
    </row>
    <row r="191" spans="1:7" s="80" customFormat="1" ht="24.95" customHeight="1" x14ac:dyDescent="0.25">
      <c r="A191" s="250" t="s">
        <v>86</v>
      </c>
      <c r="B191" s="251"/>
      <c r="C191" s="252"/>
      <c r="D191" s="77" t="s">
        <v>17</v>
      </c>
      <c r="E191" s="78">
        <f>E192</f>
        <v>2243.02</v>
      </c>
      <c r="F191" s="78">
        <f t="shared" ref="F191" si="20">F192</f>
        <v>0</v>
      </c>
      <c r="G191" s="78">
        <f t="shared" ref="G191" si="21">(F191/E191)*100</f>
        <v>0</v>
      </c>
    </row>
    <row r="192" spans="1:7" ht="24.95" customHeight="1" x14ac:dyDescent="0.25">
      <c r="A192" s="244">
        <v>3</v>
      </c>
      <c r="B192" s="245"/>
      <c r="C192" s="246"/>
      <c r="D192" s="26" t="s">
        <v>19</v>
      </c>
      <c r="E192" s="57">
        <f>E193+E194</f>
        <v>2243.02</v>
      </c>
      <c r="F192" s="57">
        <f>F194</f>
        <v>0</v>
      </c>
      <c r="G192" s="57"/>
    </row>
    <row r="193" spans="1:7" ht="24.95" customHeight="1" x14ac:dyDescent="0.25">
      <c r="A193" s="247">
        <v>32</v>
      </c>
      <c r="B193" s="248"/>
      <c r="C193" s="249"/>
      <c r="D193" s="93" t="s">
        <v>29</v>
      </c>
      <c r="E193" s="57">
        <f>199.08+663.61+1327.23</f>
        <v>2189.92</v>
      </c>
      <c r="F193" s="57"/>
      <c r="G193" s="78">
        <f t="shared" ref="G193:G198" si="22">(F193/E193)*100</f>
        <v>0</v>
      </c>
    </row>
    <row r="194" spans="1:7" ht="24.95" customHeight="1" x14ac:dyDescent="0.25">
      <c r="A194" s="247">
        <v>37</v>
      </c>
      <c r="B194" s="248"/>
      <c r="C194" s="249"/>
      <c r="D194" s="73" t="s">
        <v>44</v>
      </c>
      <c r="E194" s="57">
        <v>53.1</v>
      </c>
      <c r="F194" s="57"/>
      <c r="G194" s="78">
        <f t="shared" si="22"/>
        <v>0</v>
      </c>
    </row>
    <row r="195" spans="1:7" ht="24.95" customHeight="1" x14ac:dyDescent="0.25">
      <c r="A195" s="256" t="s">
        <v>76</v>
      </c>
      <c r="B195" s="257"/>
      <c r="C195" s="258"/>
      <c r="D195" s="65" t="s">
        <v>77</v>
      </c>
      <c r="E195" s="72">
        <f>E197</f>
        <v>102589.61</v>
      </c>
      <c r="F195" s="72">
        <f t="shared" ref="F195" si="23">F197</f>
        <v>53095.41</v>
      </c>
      <c r="G195" s="72"/>
    </row>
    <row r="196" spans="1:7" s="80" customFormat="1" ht="24.95" customHeight="1" x14ac:dyDescent="0.25">
      <c r="A196" s="250" t="s">
        <v>86</v>
      </c>
      <c r="B196" s="251"/>
      <c r="C196" s="252"/>
      <c r="D196" s="77" t="s">
        <v>17</v>
      </c>
      <c r="E196" s="78">
        <f>E197</f>
        <v>102589.61</v>
      </c>
      <c r="F196" s="78">
        <f>F197</f>
        <v>53095.41</v>
      </c>
      <c r="G196" s="78">
        <f t="shared" si="22"/>
        <v>51.75515337274409</v>
      </c>
    </row>
    <row r="197" spans="1:7" ht="24.95" customHeight="1" x14ac:dyDescent="0.25">
      <c r="A197" s="244">
        <v>3</v>
      </c>
      <c r="B197" s="245"/>
      <c r="C197" s="246"/>
      <c r="D197" s="36" t="s">
        <v>19</v>
      </c>
      <c r="E197" s="57">
        <f>E198+E205</f>
        <v>102589.61</v>
      </c>
      <c r="F197" s="57">
        <f>F198+F205</f>
        <v>53095.41</v>
      </c>
      <c r="G197" s="57"/>
    </row>
    <row r="198" spans="1:7" ht="24.95" customHeight="1" x14ac:dyDescent="0.25">
      <c r="A198" s="247">
        <v>31</v>
      </c>
      <c r="B198" s="248"/>
      <c r="C198" s="249"/>
      <c r="D198" s="36" t="s">
        <v>20</v>
      </c>
      <c r="E198" s="57">
        <f>82668.24+4953.86+13640.28</f>
        <v>101262.38</v>
      </c>
      <c r="F198" s="57">
        <f>F199+F201+F203</f>
        <v>52382.41</v>
      </c>
      <c r="G198" s="78">
        <f t="shared" si="22"/>
        <v>51.729388544887058</v>
      </c>
    </row>
    <row r="199" spans="1:7" ht="24.95" customHeight="1" x14ac:dyDescent="0.25">
      <c r="A199" s="262">
        <v>311</v>
      </c>
      <c r="B199" s="263"/>
      <c r="C199" s="264"/>
      <c r="D199" s="131" t="s">
        <v>166</v>
      </c>
      <c r="E199" s="57"/>
      <c r="F199" s="57">
        <f>F200</f>
        <v>44792.58</v>
      </c>
      <c r="G199" s="58"/>
    </row>
    <row r="200" spans="1:7" ht="24.95" customHeight="1" x14ac:dyDescent="0.25">
      <c r="A200" s="262">
        <v>3111</v>
      </c>
      <c r="B200" s="263"/>
      <c r="C200" s="264"/>
      <c r="D200" s="131" t="s">
        <v>167</v>
      </c>
      <c r="E200" s="57"/>
      <c r="F200" s="57">
        <v>44792.58</v>
      </c>
      <c r="G200" s="58"/>
    </row>
    <row r="201" spans="1:7" ht="24.95" customHeight="1" x14ac:dyDescent="0.25">
      <c r="A201" s="262">
        <v>312</v>
      </c>
      <c r="B201" s="263"/>
      <c r="C201" s="264"/>
      <c r="D201" s="131" t="s">
        <v>168</v>
      </c>
      <c r="E201" s="57"/>
      <c r="F201" s="57">
        <f>F202</f>
        <v>199.08</v>
      </c>
      <c r="G201" s="58"/>
    </row>
    <row r="202" spans="1:7" ht="24.95" customHeight="1" x14ac:dyDescent="0.25">
      <c r="A202" s="262">
        <v>3121</v>
      </c>
      <c r="B202" s="263"/>
      <c r="C202" s="264"/>
      <c r="D202" s="131" t="s">
        <v>168</v>
      </c>
      <c r="E202" s="57"/>
      <c r="F202" s="57">
        <v>199.08</v>
      </c>
      <c r="G202" s="58"/>
    </row>
    <row r="203" spans="1:7" ht="24.95" customHeight="1" x14ac:dyDescent="0.25">
      <c r="A203" s="262">
        <v>313</v>
      </c>
      <c r="B203" s="263"/>
      <c r="C203" s="264"/>
      <c r="D203" s="131" t="s">
        <v>169</v>
      </c>
      <c r="E203" s="57"/>
      <c r="F203" s="57">
        <f>F204</f>
        <v>7390.75</v>
      </c>
      <c r="G203" s="58"/>
    </row>
    <row r="204" spans="1:7" ht="24.95" customHeight="1" x14ac:dyDescent="0.25">
      <c r="A204" s="262">
        <v>3132</v>
      </c>
      <c r="B204" s="263"/>
      <c r="C204" s="264"/>
      <c r="D204" s="131" t="s">
        <v>170</v>
      </c>
      <c r="E204" s="57"/>
      <c r="F204" s="57">
        <v>7390.75</v>
      </c>
      <c r="G204" s="58"/>
    </row>
    <row r="205" spans="1:7" ht="24.95" customHeight="1" x14ac:dyDescent="0.25">
      <c r="A205" s="247">
        <v>32</v>
      </c>
      <c r="B205" s="248"/>
      <c r="C205" s="249"/>
      <c r="D205" s="36" t="s">
        <v>106</v>
      </c>
      <c r="E205" s="57">
        <v>1327.23</v>
      </c>
      <c r="F205" s="57">
        <f>F206</f>
        <v>713</v>
      </c>
      <c r="G205" s="78">
        <f t="shared" ref="G205" si="24">(F205/E205)*100</f>
        <v>53.72090745387009</v>
      </c>
    </row>
    <row r="206" spans="1:7" ht="24.95" customHeight="1" x14ac:dyDescent="0.25">
      <c r="A206" s="262">
        <v>321</v>
      </c>
      <c r="B206" s="263"/>
      <c r="C206" s="264"/>
      <c r="D206" s="131" t="s">
        <v>171</v>
      </c>
      <c r="E206" s="57"/>
      <c r="F206" s="57">
        <f>F207</f>
        <v>713</v>
      </c>
      <c r="G206" s="58"/>
    </row>
    <row r="207" spans="1:7" ht="24.95" customHeight="1" x14ac:dyDescent="0.25">
      <c r="A207" s="262">
        <v>3212</v>
      </c>
      <c r="B207" s="263"/>
      <c r="C207" s="264"/>
      <c r="D207" s="131" t="s">
        <v>173</v>
      </c>
      <c r="E207" s="57"/>
      <c r="F207" s="57">
        <v>713</v>
      </c>
      <c r="G207" s="58"/>
    </row>
    <row r="208" spans="1:7" ht="30.6" customHeight="1" x14ac:dyDescent="0.25">
      <c r="A208" s="256" t="s">
        <v>78</v>
      </c>
      <c r="B208" s="257"/>
      <c r="C208" s="258"/>
      <c r="D208" s="65" t="s">
        <v>104</v>
      </c>
      <c r="E208" s="72">
        <f>E210</f>
        <v>58000</v>
      </c>
      <c r="F208" s="72">
        <f t="shared" ref="F208" si="25">F210</f>
        <v>0</v>
      </c>
      <c r="G208" s="72"/>
    </row>
    <row r="209" spans="1:7" s="80" customFormat="1" ht="24.95" customHeight="1" x14ac:dyDescent="0.25">
      <c r="A209" s="250" t="s">
        <v>86</v>
      </c>
      <c r="B209" s="251"/>
      <c r="C209" s="252"/>
      <c r="D209" s="77" t="s">
        <v>17</v>
      </c>
      <c r="E209" s="78">
        <f>E210</f>
        <v>58000</v>
      </c>
      <c r="F209" s="78">
        <f t="shared" ref="F209:F210" si="26">F210</f>
        <v>0</v>
      </c>
      <c r="G209" s="78">
        <f t="shared" ref="G209" si="27">(F209/E209)*100</f>
        <v>0</v>
      </c>
    </row>
    <row r="210" spans="1:7" ht="24.95" customHeight="1" x14ac:dyDescent="0.25">
      <c r="A210" s="244">
        <v>3</v>
      </c>
      <c r="B210" s="245"/>
      <c r="C210" s="246"/>
      <c r="D210" s="36" t="s">
        <v>19</v>
      </c>
      <c r="E210" s="57">
        <f>E211</f>
        <v>58000</v>
      </c>
      <c r="F210" s="57">
        <f t="shared" si="26"/>
        <v>0</v>
      </c>
      <c r="G210" s="57"/>
    </row>
    <row r="211" spans="1:7" ht="27.6" customHeight="1" x14ac:dyDescent="0.25">
      <c r="A211" s="247">
        <v>37</v>
      </c>
      <c r="B211" s="248"/>
      <c r="C211" s="249"/>
      <c r="D211" s="73" t="s">
        <v>44</v>
      </c>
      <c r="E211" s="57">
        <v>58000</v>
      </c>
      <c r="F211" s="57"/>
      <c r="G211" s="78">
        <f t="shared" ref="G211:G215" si="28">(F211/E211)*100</f>
        <v>0</v>
      </c>
    </row>
    <row r="212" spans="1:7" ht="24.95" customHeight="1" x14ac:dyDescent="0.25">
      <c r="A212" s="256" t="s">
        <v>79</v>
      </c>
      <c r="B212" s="257"/>
      <c r="C212" s="258"/>
      <c r="D212" s="65" t="s">
        <v>103</v>
      </c>
      <c r="E212" s="98">
        <f>E213+E218+E223</f>
        <v>32407.16</v>
      </c>
      <c r="F212" s="72">
        <f>F213+F218+F223</f>
        <v>9288.09</v>
      </c>
      <c r="G212" s="72"/>
    </row>
    <row r="213" spans="1:7" ht="24.95" customHeight="1" x14ac:dyDescent="0.25">
      <c r="A213" s="250" t="s">
        <v>86</v>
      </c>
      <c r="B213" s="251"/>
      <c r="C213" s="252"/>
      <c r="D213" s="94" t="s">
        <v>17</v>
      </c>
      <c r="E213" s="97">
        <f>E214</f>
        <v>3000</v>
      </c>
      <c r="F213" s="209">
        <f>F214</f>
        <v>2867.06</v>
      </c>
      <c r="G213" s="78">
        <f t="shared" si="28"/>
        <v>95.568666666666672</v>
      </c>
    </row>
    <row r="214" spans="1:7" ht="24.95" customHeight="1" x14ac:dyDescent="0.25">
      <c r="A214" s="244">
        <v>3</v>
      </c>
      <c r="B214" s="245"/>
      <c r="C214" s="246"/>
      <c r="D214" s="93" t="s">
        <v>19</v>
      </c>
      <c r="E214" s="96">
        <f>E215</f>
        <v>3000</v>
      </c>
      <c r="F214" s="96">
        <f>F215</f>
        <v>2867.06</v>
      </c>
      <c r="G214" s="95"/>
    </row>
    <row r="215" spans="1:7" ht="24.95" customHeight="1" x14ac:dyDescent="0.25">
      <c r="A215" s="247">
        <v>32</v>
      </c>
      <c r="B215" s="248"/>
      <c r="C215" s="249"/>
      <c r="D215" s="93" t="s">
        <v>29</v>
      </c>
      <c r="E215" s="96">
        <v>3000</v>
      </c>
      <c r="F215" s="96">
        <f>F216</f>
        <v>2867.06</v>
      </c>
      <c r="G215" s="78">
        <f t="shared" si="28"/>
        <v>95.568666666666672</v>
      </c>
    </row>
    <row r="216" spans="1:7" ht="24.95" customHeight="1" x14ac:dyDescent="0.25">
      <c r="A216" s="262">
        <v>322</v>
      </c>
      <c r="B216" s="263"/>
      <c r="C216" s="264"/>
      <c r="D216" s="131" t="s">
        <v>176</v>
      </c>
      <c r="E216" s="96"/>
      <c r="F216" s="96">
        <f>F217</f>
        <v>2867.06</v>
      </c>
      <c r="G216" s="95"/>
    </row>
    <row r="217" spans="1:7" ht="24.95" customHeight="1" x14ac:dyDescent="0.25">
      <c r="A217" s="262">
        <v>3222</v>
      </c>
      <c r="B217" s="263"/>
      <c r="C217" s="264"/>
      <c r="D217" s="131" t="s">
        <v>178</v>
      </c>
      <c r="E217" s="96"/>
      <c r="F217" s="96">
        <v>2867.06</v>
      </c>
      <c r="G217" s="95"/>
    </row>
    <row r="218" spans="1:7" s="80" customFormat="1" ht="24.95" customHeight="1" x14ac:dyDescent="0.25">
      <c r="A218" s="250" t="s">
        <v>85</v>
      </c>
      <c r="B218" s="251"/>
      <c r="C218" s="252"/>
      <c r="D218" s="77" t="s">
        <v>51</v>
      </c>
      <c r="E218" s="78">
        <f>E219</f>
        <v>4681.54</v>
      </c>
      <c r="F218" s="78">
        <f t="shared" ref="F218:F219" si="29">F219</f>
        <v>339.47</v>
      </c>
      <c r="G218" s="78">
        <f t="shared" ref="G218" si="30">(F218/E218)*100</f>
        <v>7.2512463847366471</v>
      </c>
    </row>
    <row r="219" spans="1:7" ht="24.95" customHeight="1" x14ac:dyDescent="0.25">
      <c r="A219" s="244">
        <v>3</v>
      </c>
      <c r="B219" s="245"/>
      <c r="C219" s="246"/>
      <c r="D219" s="36" t="s">
        <v>19</v>
      </c>
      <c r="E219" s="57">
        <f>E220</f>
        <v>4681.54</v>
      </c>
      <c r="F219" s="57">
        <f t="shared" si="29"/>
        <v>339.47</v>
      </c>
      <c r="G219" s="57"/>
    </row>
    <row r="220" spans="1:7" ht="24.95" customHeight="1" x14ac:dyDescent="0.25">
      <c r="A220" s="247">
        <v>32</v>
      </c>
      <c r="B220" s="248"/>
      <c r="C220" s="249"/>
      <c r="D220" s="66" t="s">
        <v>29</v>
      </c>
      <c r="E220" s="57">
        <f>1604.05+3077.49</f>
        <v>4681.54</v>
      </c>
      <c r="F220" s="57">
        <f>F221</f>
        <v>339.47</v>
      </c>
      <c r="G220" s="78">
        <f t="shared" ref="G220" si="31">(F220/E220)*100</f>
        <v>7.2512463847366471</v>
      </c>
    </row>
    <row r="221" spans="1:7" ht="24.95" customHeight="1" x14ac:dyDescent="0.25">
      <c r="A221" s="262">
        <v>322</v>
      </c>
      <c r="B221" s="263"/>
      <c r="C221" s="264"/>
      <c r="D221" s="131" t="s">
        <v>176</v>
      </c>
      <c r="E221" s="57"/>
      <c r="F221" s="57">
        <f>F222</f>
        <v>339.47</v>
      </c>
      <c r="G221" s="58"/>
    </row>
    <row r="222" spans="1:7" ht="24.95" customHeight="1" x14ac:dyDescent="0.25">
      <c r="A222" s="262">
        <v>3222</v>
      </c>
      <c r="B222" s="263"/>
      <c r="C222" s="264"/>
      <c r="D222" s="131" t="s">
        <v>178</v>
      </c>
      <c r="E222" s="57"/>
      <c r="F222" s="57">
        <f>339.47</f>
        <v>339.47</v>
      </c>
      <c r="G222" s="58"/>
    </row>
    <row r="223" spans="1:7" s="80" customFormat="1" ht="24.95" customHeight="1" x14ac:dyDescent="0.25">
      <c r="A223" s="250" t="s">
        <v>102</v>
      </c>
      <c r="B223" s="251"/>
      <c r="C223" s="252"/>
      <c r="D223" s="77" t="s">
        <v>56</v>
      </c>
      <c r="E223" s="78">
        <f>E224</f>
        <v>24725.62</v>
      </c>
      <c r="F223" s="78">
        <f>F224</f>
        <v>6081.56</v>
      </c>
      <c r="G223" s="78">
        <f t="shared" ref="G223" si="32">(F223/E223)*100</f>
        <v>24.596188083453523</v>
      </c>
    </row>
    <row r="224" spans="1:7" ht="24.95" customHeight="1" x14ac:dyDescent="0.25">
      <c r="A224" s="244">
        <v>3</v>
      </c>
      <c r="B224" s="245"/>
      <c r="C224" s="246"/>
      <c r="D224" s="66" t="s">
        <v>19</v>
      </c>
      <c r="E224" s="57">
        <f>E225</f>
        <v>24725.62</v>
      </c>
      <c r="F224" s="57">
        <f t="shared" ref="F224" si="33">F225</f>
        <v>6081.56</v>
      </c>
      <c r="G224" s="57"/>
    </row>
    <row r="225" spans="1:7" ht="24.95" customHeight="1" x14ac:dyDescent="0.25">
      <c r="A225" s="247">
        <v>32</v>
      </c>
      <c r="B225" s="248"/>
      <c r="C225" s="249"/>
      <c r="D225" s="66" t="s">
        <v>29</v>
      </c>
      <c r="E225" s="57">
        <f>7286.52+17439.1</f>
        <v>24725.62</v>
      </c>
      <c r="F225" s="57">
        <f>F226</f>
        <v>6081.56</v>
      </c>
      <c r="G225" s="78">
        <f t="shared" ref="G225" si="34">(F225/E225)*100</f>
        <v>24.596188083453523</v>
      </c>
    </row>
    <row r="226" spans="1:7" ht="24.95" customHeight="1" x14ac:dyDescent="0.25">
      <c r="A226" s="262">
        <v>322</v>
      </c>
      <c r="B226" s="263"/>
      <c r="C226" s="264"/>
      <c r="D226" s="131" t="s">
        <v>176</v>
      </c>
      <c r="E226" s="57"/>
      <c r="F226" s="57">
        <f>F227</f>
        <v>6081.56</v>
      </c>
      <c r="G226" s="58"/>
    </row>
    <row r="227" spans="1:7" ht="24.95" customHeight="1" x14ac:dyDescent="0.25">
      <c r="A227" s="262">
        <v>3222</v>
      </c>
      <c r="B227" s="263"/>
      <c r="C227" s="264"/>
      <c r="D227" s="131" t="s">
        <v>178</v>
      </c>
      <c r="E227" s="57"/>
      <c r="F227" s="57">
        <f>3922.24+2148.11+11.21</f>
        <v>6081.56</v>
      </c>
      <c r="G227" s="58"/>
    </row>
    <row r="228" spans="1:7" ht="30" customHeight="1" x14ac:dyDescent="0.25">
      <c r="A228" s="256" t="s">
        <v>80</v>
      </c>
      <c r="B228" s="257"/>
      <c r="C228" s="258"/>
      <c r="D228" s="65" t="s">
        <v>101</v>
      </c>
      <c r="E228" s="72">
        <f>E229+E239+E249</f>
        <v>88290.55</v>
      </c>
      <c r="F228" s="72">
        <f>F229+F239+F249</f>
        <v>59502.040000000008</v>
      </c>
      <c r="G228" s="72"/>
    </row>
    <row r="229" spans="1:7" s="80" customFormat="1" ht="24.95" customHeight="1" x14ac:dyDescent="0.25">
      <c r="A229" s="250" t="s">
        <v>86</v>
      </c>
      <c r="B229" s="251"/>
      <c r="C229" s="252"/>
      <c r="D229" s="77" t="s">
        <v>17</v>
      </c>
      <c r="E229" s="78">
        <f>E230</f>
        <v>12793.359999999999</v>
      </c>
      <c r="F229" s="78">
        <f>F230</f>
        <v>7522.66</v>
      </c>
      <c r="G229" s="78">
        <f t="shared" ref="G229" si="35">(F229/E229)*100</f>
        <v>58.801284416290954</v>
      </c>
    </row>
    <row r="230" spans="1:7" ht="24.95" customHeight="1" x14ac:dyDescent="0.25">
      <c r="A230" s="244">
        <v>3</v>
      </c>
      <c r="B230" s="245"/>
      <c r="C230" s="246"/>
      <c r="D230" s="36" t="s">
        <v>19</v>
      </c>
      <c r="E230" s="57">
        <f>SUM(E231:E236)</f>
        <v>12793.359999999999</v>
      </c>
      <c r="F230" s="57">
        <f>F231+F236</f>
        <v>7522.66</v>
      </c>
      <c r="G230" s="57"/>
    </row>
    <row r="231" spans="1:7" ht="24.95" customHeight="1" x14ac:dyDescent="0.25">
      <c r="A231" s="247">
        <v>31</v>
      </c>
      <c r="B231" s="248"/>
      <c r="C231" s="249"/>
      <c r="D231" s="37" t="s">
        <v>20</v>
      </c>
      <c r="E231" s="57">
        <v>11945.05</v>
      </c>
      <c r="F231" s="57">
        <f>SUM(F232+F234)</f>
        <v>7000</v>
      </c>
      <c r="G231" s="78">
        <f t="shared" ref="G231" si="36">(F231/E231)*100</f>
        <v>58.601680193887852</v>
      </c>
    </row>
    <row r="232" spans="1:7" ht="24.95" customHeight="1" x14ac:dyDescent="0.25">
      <c r="A232" s="262">
        <v>311</v>
      </c>
      <c r="B232" s="263"/>
      <c r="C232" s="264"/>
      <c r="D232" s="131" t="s">
        <v>166</v>
      </c>
      <c r="E232" s="57"/>
      <c r="F232" s="57">
        <f>F233</f>
        <v>5000</v>
      </c>
      <c r="G232" s="58"/>
    </row>
    <row r="233" spans="1:7" ht="24.95" customHeight="1" x14ac:dyDescent="0.25">
      <c r="A233" s="262">
        <v>3111</v>
      </c>
      <c r="B233" s="263"/>
      <c r="C233" s="264"/>
      <c r="D233" s="131" t="s">
        <v>167</v>
      </c>
      <c r="E233" s="57"/>
      <c r="F233" s="57">
        <v>5000</v>
      </c>
      <c r="G233" s="58"/>
    </row>
    <row r="234" spans="1:7" ht="24.95" customHeight="1" x14ac:dyDescent="0.25">
      <c r="A234" s="262">
        <v>313</v>
      </c>
      <c r="B234" s="263"/>
      <c r="C234" s="264"/>
      <c r="D234" s="131" t="s">
        <v>169</v>
      </c>
      <c r="E234" s="57"/>
      <c r="F234" s="57">
        <f>F235</f>
        <v>2000</v>
      </c>
      <c r="G234" s="58"/>
    </row>
    <row r="235" spans="1:7" ht="24.95" customHeight="1" x14ac:dyDescent="0.25">
      <c r="A235" s="262">
        <v>3132</v>
      </c>
      <c r="B235" s="263"/>
      <c r="C235" s="264"/>
      <c r="D235" s="131" t="s">
        <v>170</v>
      </c>
      <c r="E235" s="57"/>
      <c r="F235" s="57">
        <v>2000</v>
      </c>
      <c r="G235" s="58"/>
    </row>
    <row r="236" spans="1:7" ht="24.95" customHeight="1" x14ac:dyDescent="0.25">
      <c r="A236" s="247">
        <v>32</v>
      </c>
      <c r="B236" s="248"/>
      <c r="C236" s="249"/>
      <c r="D236" s="66" t="s">
        <v>106</v>
      </c>
      <c r="E236" s="57">
        <v>848.31</v>
      </c>
      <c r="F236" s="57">
        <f>F237</f>
        <v>522.66</v>
      </c>
      <c r="G236" s="78">
        <f t="shared" ref="G236" si="37">(F236/E236)*100</f>
        <v>61.611910740177535</v>
      </c>
    </row>
    <row r="237" spans="1:7" ht="24.95" customHeight="1" x14ac:dyDescent="0.25">
      <c r="A237" s="262">
        <v>321</v>
      </c>
      <c r="B237" s="263"/>
      <c r="C237" s="264"/>
      <c r="D237" s="131" t="s">
        <v>171</v>
      </c>
      <c r="E237" s="57"/>
      <c r="F237" s="57">
        <f>F238</f>
        <v>522.66</v>
      </c>
      <c r="G237" s="58"/>
    </row>
    <row r="238" spans="1:7" ht="24.95" customHeight="1" x14ac:dyDescent="0.25">
      <c r="A238" s="262">
        <v>3211</v>
      </c>
      <c r="B238" s="263"/>
      <c r="C238" s="264"/>
      <c r="D238" s="131" t="s">
        <v>172</v>
      </c>
      <c r="E238" s="57"/>
      <c r="F238" s="57">
        <v>522.66</v>
      </c>
      <c r="G238" s="58"/>
    </row>
    <row r="239" spans="1:7" s="80" customFormat="1" ht="24.95" customHeight="1" x14ac:dyDescent="0.25">
      <c r="A239" s="250" t="s">
        <v>85</v>
      </c>
      <c r="B239" s="251"/>
      <c r="C239" s="252"/>
      <c r="D239" s="77" t="s">
        <v>51</v>
      </c>
      <c r="E239" s="78">
        <f>E240</f>
        <v>13243.580000000002</v>
      </c>
      <c r="F239" s="78">
        <f>F240</f>
        <v>7786.22</v>
      </c>
      <c r="G239" s="78">
        <f t="shared" ref="G239" si="38">(F239/E239)*100</f>
        <v>58.792411115423469</v>
      </c>
    </row>
    <row r="240" spans="1:7" ht="24.95" customHeight="1" x14ac:dyDescent="0.25">
      <c r="A240" s="244">
        <v>3</v>
      </c>
      <c r="B240" s="245"/>
      <c r="C240" s="246"/>
      <c r="D240" s="64" t="s">
        <v>19</v>
      </c>
      <c r="E240" s="57">
        <f>SUM(E241:E246)</f>
        <v>13243.580000000002</v>
      </c>
      <c r="F240" s="57">
        <f>F241+F246</f>
        <v>7786.22</v>
      </c>
      <c r="G240" s="57"/>
    </row>
    <row r="241" spans="1:7" ht="24.95" customHeight="1" x14ac:dyDescent="0.25">
      <c r="A241" s="247">
        <v>31</v>
      </c>
      <c r="B241" s="248"/>
      <c r="C241" s="249"/>
      <c r="D241" s="64" t="s">
        <v>20</v>
      </c>
      <c r="E241" s="57">
        <v>11985.37</v>
      </c>
      <c r="F241" s="57">
        <f>F244+F242</f>
        <v>7000</v>
      </c>
      <c r="G241" s="78">
        <f t="shared" ref="G241" si="39">(F241/E241)*100</f>
        <v>58.404538199488208</v>
      </c>
    </row>
    <row r="242" spans="1:7" ht="24.95" customHeight="1" x14ac:dyDescent="0.25">
      <c r="A242" s="262">
        <v>311</v>
      </c>
      <c r="B242" s="263"/>
      <c r="C242" s="264"/>
      <c r="D242" s="131" t="s">
        <v>166</v>
      </c>
      <c r="E242" s="57"/>
      <c r="F242" s="57">
        <f>F243</f>
        <v>5000</v>
      </c>
      <c r="G242" s="78"/>
    </row>
    <row r="243" spans="1:7" ht="24.95" customHeight="1" x14ac:dyDescent="0.25">
      <c r="A243" s="262">
        <v>3111</v>
      </c>
      <c r="B243" s="263"/>
      <c r="C243" s="264"/>
      <c r="D243" s="131" t="s">
        <v>167</v>
      </c>
      <c r="E243" s="57"/>
      <c r="F243" s="57">
        <v>5000</v>
      </c>
      <c r="G243" s="78"/>
    </row>
    <row r="244" spans="1:7" ht="24.95" customHeight="1" x14ac:dyDescent="0.25">
      <c r="A244" s="262">
        <v>313</v>
      </c>
      <c r="B244" s="263"/>
      <c r="C244" s="264"/>
      <c r="D244" s="131" t="s">
        <v>169</v>
      </c>
      <c r="E244" s="57"/>
      <c r="F244" s="57">
        <f>F245</f>
        <v>2000</v>
      </c>
      <c r="G244" s="58"/>
    </row>
    <row r="245" spans="1:7" ht="24.95" customHeight="1" x14ac:dyDescent="0.25">
      <c r="A245" s="262">
        <v>3132</v>
      </c>
      <c r="B245" s="263"/>
      <c r="C245" s="264"/>
      <c r="D245" s="131" t="s">
        <v>170</v>
      </c>
      <c r="E245" s="57"/>
      <c r="F245" s="57">
        <v>2000</v>
      </c>
      <c r="G245" s="58"/>
    </row>
    <row r="246" spans="1:7" ht="24.95" customHeight="1" x14ac:dyDescent="0.25">
      <c r="A246" s="247">
        <v>32</v>
      </c>
      <c r="B246" s="248"/>
      <c r="C246" s="249"/>
      <c r="D246" s="66" t="s">
        <v>106</v>
      </c>
      <c r="E246" s="57">
        <v>1258.21</v>
      </c>
      <c r="F246" s="57">
        <f>F247</f>
        <v>786.22</v>
      </c>
      <c r="G246" s="78">
        <f t="shared" ref="G246" si="40">(F246/E246)*100</f>
        <v>62.487184174342914</v>
      </c>
    </row>
    <row r="247" spans="1:7" ht="24.95" customHeight="1" x14ac:dyDescent="0.25">
      <c r="A247" s="262">
        <v>321</v>
      </c>
      <c r="B247" s="263"/>
      <c r="C247" s="264"/>
      <c r="D247" s="131" t="s">
        <v>171</v>
      </c>
      <c r="E247" s="57"/>
      <c r="F247" s="57">
        <f>F248</f>
        <v>786.22</v>
      </c>
      <c r="G247" s="58"/>
    </row>
    <row r="248" spans="1:7" ht="24.95" customHeight="1" x14ac:dyDescent="0.25">
      <c r="A248" s="262">
        <v>3212</v>
      </c>
      <c r="B248" s="263"/>
      <c r="C248" s="264"/>
      <c r="D248" s="131" t="s">
        <v>173</v>
      </c>
      <c r="E248" s="57"/>
      <c r="F248" s="57">
        <v>786.22</v>
      </c>
      <c r="G248" s="58"/>
    </row>
    <row r="249" spans="1:7" s="80" customFormat="1" ht="24.95" customHeight="1" x14ac:dyDescent="0.25">
      <c r="A249" s="250" t="s">
        <v>102</v>
      </c>
      <c r="B249" s="251"/>
      <c r="C249" s="252"/>
      <c r="D249" s="77" t="s">
        <v>56</v>
      </c>
      <c r="E249" s="78">
        <f>E250</f>
        <v>62253.61</v>
      </c>
      <c r="F249" s="78">
        <f>F250</f>
        <v>44193.16</v>
      </c>
      <c r="G249" s="78">
        <f t="shared" ref="G249" si="41">(F249/E249)*100</f>
        <v>70.988911325784969</v>
      </c>
    </row>
    <row r="250" spans="1:7" ht="24.95" customHeight="1" x14ac:dyDescent="0.25">
      <c r="A250" s="244">
        <v>3</v>
      </c>
      <c r="B250" s="245"/>
      <c r="C250" s="246"/>
      <c r="D250" s="64" t="s">
        <v>19</v>
      </c>
      <c r="E250" s="57">
        <f>SUM(E251:E256)</f>
        <v>62253.61</v>
      </c>
      <c r="F250" s="57">
        <f>F251+F256</f>
        <v>44193.16</v>
      </c>
      <c r="G250" s="57"/>
    </row>
    <row r="251" spans="1:7" ht="24.95" customHeight="1" x14ac:dyDescent="0.25">
      <c r="A251" s="247">
        <v>31</v>
      </c>
      <c r="B251" s="248"/>
      <c r="C251" s="249"/>
      <c r="D251" s="64" t="s">
        <v>20</v>
      </c>
      <c r="E251" s="57">
        <v>55972.05</v>
      </c>
      <c r="F251" s="57">
        <f>F252+F254</f>
        <v>40193.160000000003</v>
      </c>
      <c r="G251" s="78">
        <f t="shared" ref="G251" si="42">(F251/E251)*100</f>
        <v>71.809340554794758</v>
      </c>
    </row>
    <row r="252" spans="1:7" ht="24.95" customHeight="1" x14ac:dyDescent="0.25">
      <c r="A252" s="262">
        <v>311</v>
      </c>
      <c r="B252" s="263"/>
      <c r="C252" s="264"/>
      <c r="D252" s="131" t="s">
        <v>166</v>
      </c>
      <c r="E252" s="57"/>
      <c r="F252" s="57">
        <f>F253</f>
        <v>36517.760000000002</v>
      </c>
      <c r="G252" s="58"/>
    </row>
    <row r="253" spans="1:7" ht="24.95" customHeight="1" x14ac:dyDescent="0.25">
      <c r="A253" s="262">
        <v>3111</v>
      </c>
      <c r="B253" s="263"/>
      <c r="C253" s="264"/>
      <c r="D253" s="131" t="s">
        <v>167</v>
      </c>
      <c r="E253" s="57"/>
      <c r="F253" s="57">
        <v>36517.760000000002</v>
      </c>
      <c r="G253" s="58"/>
    </row>
    <row r="254" spans="1:7" ht="24.95" customHeight="1" x14ac:dyDescent="0.25">
      <c r="A254" s="262">
        <v>313</v>
      </c>
      <c r="B254" s="263"/>
      <c r="C254" s="264"/>
      <c r="D254" s="131" t="s">
        <v>169</v>
      </c>
      <c r="E254" s="57"/>
      <c r="F254" s="57">
        <f>F255</f>
        <v>3675.4</v>
      </c>
      <c r="G254" s="58"/>
    </row>
    <row r="255" spans="1:7" ht="24.95" customHeight="1" x14ac:dyDescent="0.25">
      <c r="A255" s="262">
        <v>3132</v>
      </c>
      <c r="B255" s="263"/>
      <c r="C255" s="264"/>
      <c r="D255" s="131" t="s">
        <v>170</v>
      </c>
      <c r="E255" s="57"/>
      <c r="F255" s="57">
        <v>3675.4</v>
      </c>
      <c r="G255" s="58"/>
    </row>
    <row r="256" spans="1:7" ht="24.95" customHeight="1" x14ac:dyDescent="0.25">
      <c r="A256" s="247">
        <v>32</v>
      </c>
      <c r="B256" s="248"/>
      <c r="C256" s="249"/>
      <c r="D256" s="66" t="s">
        <v>106</v>
      </c>
      <c r="E256" s="57">
        <v>6281.56</v>
      </c>
      <c r="F256" s="57">
        <f>F257</f>
        <v>4000</v>
      </c>
      <c r="G256" s="78">
        <f t="shared" ref="G256:G267" si="43">(F256/E256)*100</f>
        <v>63.678449302402583</v>
      </c>
    </row>
    <row r="257" spans="1:7" ht="24.95" customHeight="1" x14ac:dyDescent="0.25">
      <c r="A257" s="262">
        <v>321</v>
      </c>
      <c r="B257" s="263"/>
      <c r="C257" s="264"/>
      <c r="D257" s="131" t="s">
        <v>171</v>
      </c>
      <c r="E257" s="57"/>
      <c r="F257" s="57">
        <f>F258</f>
        <v>4000</v>
      </c>
      <c r="G257" s="78"/>
    </row>
    <row r="258" spans="1:7" ht="24.95" customHeight="1" x14ac:dyDescent="0.25">
      <c r="A258" s="262">
        <v>3212</v>
      </c>
      <c r="B258" s="263"/>
      <c r="C258" s="264"/>
      <c r="D258" s="131" t="s">
        <v>173</v>
      </c>
      <c r="E258" s="57"/>
      <c r="F258" s="57">
        <v>4000</v>
      </c>
      <c r="G258" s="78"/>
    </row>
    <row r="259" spans="1:7" ht="24.95" customHeight="1" x14ac:dyDescent="0.25">
      <c r="A259" s="256" t="s">
        <v>81</v>
      </c>
      <c r="B259" s="257"/>
      <c r="C259" s="258"/>
      <c r="D259" s="65" t="s">
        <v>82</v>
      </c>
      <c r="E259" s="72">
        <f>E260</f>
        <v>20178.43</v>
      </c>
      <c r="F259" s="72">
        <f t="shared" ref="F259:F260" si="44">F260</f>
        <v>0</v>
      </c>
      <c r="G259" s="72"/>
    </row>
    <row r="260" spans="1:7" s="80" customFormat="1" ht="24.95" customHeight="1" x14ac:dyDescent="0.25">
      <c r="A260" s="250" t="s">
        <v>86</v>
      </c>
      <c r="B260" s="251"/>
      <c r="C260" s="252"/>
      <c r="D260" s="77" t="s">
        <v>17</v>
      </c>
      <c r="E260" s="78">
        <f>E261</f>
        <v>20178.43</v>
      </c>
      <c r="F260" s="78">
        <f t="shared" si="44"/>
        <v>0</v>
      </c>
      <c r="G260" s="78">
        <f t="shared" si="43"/>
        <v>0</v>
      </c>
    </row>
    <row r="261" spans="1:7" ht="24.95" customHeight="1" x14ac:dyDescent="0.25">
      <c r="A261" s="244">
        <v>3</v>
      </c>
      <c r="B261" s="245"/>
      <c r="C261" s="246"/>
      <c r="D261" s="36" t="s">
        <v>19</v>
      </c>
      <c r="E261" s="57">
        <f>E262+E263</f>
        <v>20178.43</v>
      </c>
      <c r="F261" s="57">
        <f t="shared" ref="F261" si="45">F262+F263</f>
        <v>0</v>
      </c>
      <c r="G261" s="57"/>
    </row>
    <row r="262" spans="1:7" ht="24.95" customHeight="1" x14ac:dyDescent="0.25">
      <c r="A262" s="247">
        <v>31</v>
      </c>
      <c r="B262" s="248"/>
      <c r="C262" s="249"/>
      <c r="D262" s="36" t="s">
        <v>20</v>
      </c>
      <c r="E262" s="57">
        <f>16810.16+331.81+2773.67</f>
        <v>19915.64</v>
      </c>
      <c r="F262" s="57">
        <v>0</v>
      </c>
      <c r="G262" s="78">
        <f t="shared" si="43"/>
        <v>0</v>
      </c>
    </row>
    <row r="263" spans="1:7" ht="24.95" customHeight="1" x14ac:dyDescent="0.25">
      <c r="A263" s="247">
        <v>32</v>
      </c>
      <c r="B263" s="248"/>
      <c r="C263" s="249"/>
      <c r="D263" s="66" t="s">
        <v>106</v>
      </c>
      <c r="E263" s="57">
        <f>262.79</f>
        <v>262.79000000000002</v>
      </c>
      <c r="F263" s="57">
        <v>0</v>
      </c>
      <c r="G263" s="78">
        <f t="shared" si="43"/>
        <v>0</v>
      </c>
    </row>
    <row r="264" spans="1:7" ht="24.95" customHeight="1" x14ac:dyDescent="0.25">
      <c r="A264" s="256" t="s">
        <v>83</v>
      </c>
      <c r="B264" s="257"/>
      <c r="C264" s="258"/>
      <c r="D264" s="65" t="s">
        <v>84</v>
      </c>
      <c r="E264" s="72">
        <f>E266</f>
        <v>17520.259999999998</v>
      </c>
      <c r="F264" s="72">
        <f>F266</f>
        <v>11524.05</v>
      </c>
      <c r="G264" s="72"/>
    </row>
    <row r="265" spans="1:7" s="80" customFormat="1" ht="24.95" customHeight="1" x14ac:dyDescent="0.25">
      <c r="A265" s="250" t="s">
        <v>86</v>
      </c>
      <c r="B265" s="251"/>
      <c r="C265" s="252"/>
      <c r="D265" s="77" t="s">
        <v>17</v>
      </c>
      <c r="E265" s="78">
        <f>E266</f>
        <v>17520.259999999998</v>
      </c>
      <c r="F265" s="78">
        <f>F266</f>
        <v>11524.05</v>
      </c>
      <c r="G265" s="78">
        <f t="shared" si="43"/>
        <v>65.775564974492383</v>
      </c>
    </row>
    <row r="266" spans="1:7" ht="24.95" customHeight="1" x14ac:dyDescent="0.25">
      <c r="A266" s="244">
        <v>3</v>
      </c>
      <c r="B266" s="245"/>
      <c r="C266" s="246"/>
      <c r="D266" s="36" t="s">
        <v>19</v>
      </c>
      <c r="E266" s="57">
        <f>E267+E272</f>
        <v>17520.259999999998</v>
      </c>
      <c r="F266" s="57">
        <f>F267+F272</f>
        <v>11524.05</v>
      </c>
      <c r="G266" s="57"/>
    </row>
    <row r="267" spans="1:7" ht="24.95" customHeight="1" x14ac:dyDescent="0.25">
      <c r="A267" s="247">
        <v>31</v>
      </c>
      <c r="B267" s="248"/>
      <c r="C267" s="249"/>
      <c r="D267" s="36" t="s">
        <v>20</v>
      </c>
      <c r="E267" s="57">
        <f>13651.6+1216.14+2252.52</f>
        <v>17120.259999999998</v>
      </c>
      <c r="F267" s="57">
        <f>F268+F270</f>
        <v>11317.31</v>
      </c>
      <c r="G267" s="78">
        <f t="shared" si="43"/>
        <v>66.104778782565219</v>
      </c>
    </row>
    <row r="268" spans="1:7" ht="24.95" customHeight="1" x14ac:dyDescent="0.25">
      <c r="A268" s="262">
        <v>311</v>
      </c>
      <c r="B268" s="263"/>
      <c r="C268" s="264"/>
      <c r="D268" s="131" t="s">
        <v>166</v>
      </c>
      <c r="E268" s="57"/>
      <c r="F268" s="57">
        <f>F269</f>
        <v>10307.75</v>
      </c>
      <c r="G268" s="58"/>
    </row>
    <row r="269" spans="1:7" ht="24.95" customHeight="1" x14ac:dyDescent="0.25">
      <c r="A269" s="262">
        <v>3111</v>
      </c>
      <c r="B269" s="263"/>
      <c r="C269" s="264"/>
      <c r="D269" s="131" t="s">
        <v>167</v>
      </c>
      <c r="E269" s="57"/>
      <c r="F269" s="57">
        <v>10307.75</v>
      </c>
      <c r="G269" s="58"/>
    </row>
    <row r="270" spans="1:7" ht="24.95" customHeight="1" x14ac:dyDescent="0.25">
      <c r="A270" s="262">
        <v>313</v>
      </c>
      <c r="B270" s="263"/>
      <c r="C270" s="264"/>
      <c r="D270" s="131" t="s">
        <v>169</v>
      </c>
      <c r="E270" s="57"/>
      <c r="F270" s="57">
        <f>F271</f>
        <v>1009.56</v>
      </c>
      <c r="G270" s="58"/>
    </row>
    <row r="271" spans="1:7" ht="24.95" customHeight="1" x14ac:dyDescent="0.25">
      <c r="A271" s="262">
        <v>3132</v>
      </c>
      <c r="B271" s="263"/>
      <c r="C271" s="264"/>
      <c r="D271" s="131" t="s">
        <v>170</v>
      </c>
      <c r="E271" s="57"/>
      <c r="F271" s="57">
        <v>1009.56</v>
      </c>
      <c r="G271" s="58"/>
    </row>
    <row r="272" spans="1:7" ht="24.95" customHeight="1" x14ac:dyDescent="0.25">
      <c r="A272" s="247">
        <v>32</v>
      </c>
      <c r="B272" s="248"/>
      <c r="C272" s="249"/>
      <c r="D272" s="66" t="s">
        <v>106</v>
      </c>
      <c r="E272" s="57">
        <v>400</v>
      </c>
      <c r="F272" s="57">
        <f>F273</f>
        <v>206.74</v>
      </c>
      <c r="G272" s="78">
        <f t="shared" ref="G272" si="46">(F272/E272)*100</f>
        <v>51.685000000000002</v>
      </c>
    </row>
    <row r="273" spans="1:7" ht="24.95" customHeight="1" x14ac:dyDescent="0.25">
      <c r="A273" s="262">
        <v>321</v>
      </c>
      <c r="B273" s="263"/>
      <c r="C273" s="264"/>
      <c r="D273" s="131" t="s">
        <v>171</v>
      </c>
      <c r="E273" s="57"/>
      <c r="F273" s="57">
        <f>F274</f>
        <v>206.74</v>
      </c>
      <c r="G273" s="58"/>
    </row>
    <row r="274" spans="1:7" ht="24.95" customHeight="1" x14ac:dyDescent="0.25">
      <c r="A274" s="262">
        <v>3212</v>
      </c>
      <c r="B274" s="263"/>
      <c r="C274" s="264"/>
      <c r="D274" s="131" t="s">
        <v>173</v>
      </c>
      <c r="E274" s="57"/>
      <c r="F274" s="57">
        <v>206.74</v>
      </c>
      <c r="G274" s="58"/>
    </row>
  </sheetData>
  <mergeCells count="266">
    <mergeCell ref="A185:C185"/>
    <mergeCell ref="A164:C164"/>
    <mergeCell ref="A166:C166"/>
    <mergeCell ref="A167:C167"/>
    <mergeCell ref="A177:C177"/>
    <mergeCell ref="A178:C178"/>
    <mergeCell ref="A184:C184"/>
    <mergeCell ref="A174:C174"/>
    <mergeCell ref="A175:C175"/>
    <mergeCell ref="A171:C171"/>
    <mergeCell ref="A172:C172"/>
    <mergeCell ref="A146:C146"/>
    <mergeCell ref="A148:C148"/>
    <mergeCell ref="A149:C149"/>
    <mergeCell ref="A150:C150"/>
    <mergeCell ref="A157:C157"/>
    <mergeCell ref="A154:C154"/>
    <mergeCell ref="A156:C156"/>
    <mergeCell ref="A155:C155"/>
    <mergeCell ref="A159:C159"/>
    <mergeCell ref="A67:C67"/>
    <mergeCell ref="A68:C68"/>
    <mergeCell ref="A70:C70"/>
    <mergeCell ref="A71:C71"/>
    <mergeCell ref="A60:C60"/>
    <mergeCell ref="A61:C61"/>
    <mergeCell ref="A62:C62"/>
    <mergeCell ref="A63:C63"/>
    <mergeCell ref="A48:C48"/>
    <mergeCell ref="A49:C49"/>
    <mergeCell ref="A52:C52"/>
    <mergeCell ref="A53:C53"/>
    <mergeCell ref="A54:C54"/>
    <mergeCell ref="A55:C55"/>
    <mergeCell ref="A56:C56"/>
    <mergeCell ref="A64:C64"/>
    <mergeCell ref="A65:C65"/>
    <mergeCell ref="A58:C58"/>
    <mergeCell ref="A59:C59"/>
    <mergeCell ref="A66:C66"/>
    <mergeCell ref="A69:C69"/>
    <mergeCell ref="A57:C57"/>
    <mergeCell ref="A22:C22"/>
    <mergeCell ref="A39:C39"/>
    <mergeCell ref="A12:C12"/>
    <mergeCell ref="A13:C13"/>
    <mergeCell ref="A14:C14"/>
    <mergeCell ref="A15:C15"/>
    <mergeCell ref="A32:C32"/>
    <mergeCell ref="A16:C16"/>
    <mergeCell ref="A17:C17"/>
    <mergeCell ref="A18:C18"/>
    <mergeCell ref="A19:C19"/>
    <mergeCell ref="A20:C20"/>
    <mergeCell ref="A21:C21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7:C37"/>
    <mergeCell ref="A38:C38"/>
    <mergeCell ref="A274:C274"/>
    <mergeCell ref="A273:C273"/>
    <mergeCell ref="A199:C199"/>
    <mergeCell ref="A200:C200"/>
    <mergeCell ref="A203:C203"/>
    <mergeCell ref="A204:C204"/>
    <mergeCell ref="A201:C201"/>
    <mergeCell ref="A202:C202"/>
    <mergeCell ref="A206:C206"/>
    <mergeCell ref="A207:C207"/>
    <mergeCell ref="A242:C242"/>
    <mergeCell ref="A243:C243"/>
    <mergeCell ref="A254:C254"/>
    <mergeCell ref="A255:C255"/>
    <mergeCell ref="A257:C257"/>
    <mergeCell ref="A258:C258"/>
    <mergeCell ref="A216:C216"/>
    <mergeCell ref="A217:C217"/>
    <mergeCell ref="A226:C226"/>
    <mergeCell ref="A227:C227"/>
    <mergeCell ref="A221:C221"/>
    <mergeCell ref="A222:C222"/>
    <mergeCell ref="A268:C268"/>
    <mergeCell ref="A198:C198"/>
    <mergeCell ref="A169:C169"/>
    <mergeCell ref="A165:C165"/>
    <mergeCell ref="A170:C170"/>
    <mergeCell ref="A187:C187"/>
    <mergeCell ref="A269:C269"/>
    <mergeCell ref="A270:C270"/>
    <mergeCell ref="A252:C252"/>
    <mergeCell ref="A253:C253"/>
    <mergeCell ref="A244:C244"/>
    <mergeCell ref="A245:C245"/>
    <mergeCell ref="A234:C234"/>
    <mergeCell ref="A235:C235"/>
    <mergeCell ref="A237:C237"/>
    <mergeCell ref="A238:C238"/>
    <mergeCell ref="A247:C247"/>
    <mergeCell ref="A248:C248"/>
    <mergeCell ref="A264:C264"/>
    <mergeCell ref="A265:C265"/>
    <mergeCell ref="A266:C266"/>
    <mergeCell ref="A176:C176"/>
    <mergeCell ref="A179:C179"/>
    <mergeCell ref="A180:C180"/>
    <mergeCell ref="A173:C173"/>
    <mergeCell ref="A112:C112"/>
    <mergeCell ref="A132:C132"/>
    <mergeCell ref="A133:C133"/>
    <mergeCell ref="A131:C131"/>
    <mergeCell ref="A147:C147"/>
    <mergeCell ref="A135:C135"/>
    <mergeCell ref="A152:C152"/>
    <mergeCell ref="A153:C153"/>
    <mergeCell ref="A129:C129"/>
    <mergeCell ref="A134:C134"/>
    <mergeCell ref="A136:C136"/>
    <mergeCell ref="A121:C121"/>
    <mergeCell ref="A122:C122"/>
    <mergeCell ref="A124:C124"/>
    <mergeCell ref="A125:C125"/>
    <mergeCell ref="A126:C126"/>
    <mergeCell ref="A127:C127"/>
    <mergeCell ref="A128:C128"/>
    <mergeCell ref="A137:C137"/>
    <mergeCell ref="A138:C138"/>
    <mergeCell ref="A142:C142"/>
    <mergeCell ref="A143:C143"/>
    <mergeCell ref="A144:C144"/>
    <mergeCell ref="A145:C145"/>
    <mergeCell ref="A115:C115"/>
    <mergeCell ref="A103:C103"/>
    <mergeCell ref="A110:C110"/>
    <mergeCell ref="A111:C111"/>
    <mergeCell ref="A139:C139"/>
    <mergeCell ref="A140:C140"/>
    <mergeCell ref="A141:C141"/>
    <mergeCell ref="A239:C239"/>
    <mergeCell ref="A240:C240"/>
    <mergeCell ref="A232:C232"/>
    <mergeCell ref="A233:C233"/>
    <mergeCell ref="A214:C214"/>
    <mergeCell ref="A215:C215"/>
    <mergeCell ref="A193:C193"/>
    <mergeCell ref="A181:C181"/>
    <mergeCell ref="A182:C182"/>
    <mergeCell ref="A213:C213"/>
    <mergeCell ref="A168:C168"/>
    <mergeCell ref="A160:C160"/>
    <mergeCell ref="A162:C162"/>
    <mergeCell ref="A158:C158"/>
    <mergeCell ref="A183:C183"/>
    <mergeCell ref="A188:C188"/>
    <mergeCell ref="A151:C151"/>
    <mergeCell ref="A272:C272"/>
    <mergeCell ref="A246:C246"/>
    <mergeCell ref="A219:C219"/>
    <mergeCell ref="A225:C225"/>
    <mergeCell ref="A228:C228"/>
    <mergeCell ref="A229:C229"/>
    <mergeCell ref="A262:C262"/>
    <mergeCell ref="A267:C267"/>
    <mergeCell ref="A259:C259"/>
    <mergeCell ref="A260:C260"/>
    <mergeCell ref="A261:C261"/>
    <mergeCell ref="A263:C263"/>
    <mergeCell ref="A249:C249"/>
    <mergeCell ref="A250:C250"/>
    <mergeCell ref="A251:C251"/>
    <mergeCell ref="A256:C256"/>
    <mergeCell ref="A241:C241"/>
    <mergeCell ref="A271:C271"/>
    <mergeCell ref="A72:C72"/>
    <mergeCell ref="A80:C80"/>
    <mergeCell ref="A81:C81"/>
    <mergeCell ref="A85:C85"/>
    <mergeCell ref="A87:C87"/>
    <mergeCell ref="A89:C89"/>
    <mergeCell ref="A100:C100"/>
    <mergeCell ref="A101:C101"/>
    <mergeCell ref="A102:C102"/>
    <mergeCell ref="A73:C73"/>
    <mergeCell ref="A74:C74"/>
    <mergeCell ref="A91:C91"/>
    <mergeCell ref="A92:C92"/>
    <mergeCell ref="A98:C98"/>
    <mergeCell ref="A99:C99"/>
    <mergeCell ref="A104:C104"/>
    <mergeCell ref="A105:C105"/>
    <mergeCell ref="A106:C106"/>
    <mergeCell ref="A114:C114"/>
    <mergeCell ref="A76:C76"/>
    <mergeCell ref="A77:C77"/>
    <mergeCell ref="A78:C78"/>
    <mergeCell ref="A79:C79"/>
    <mergeCell ref="A163:C163"/>
    <mergeCell ref="A90:C90"/>
    <mergeCell ref="A94:C94"/>
    <mergeCell ref="A95:C95"/>
    <mergeCell ref="A96:C96"/>
    <mergeCell ref="A97:C97"/>
    <mergeCell ref="A161:C161"/>
    <mergeCell ref="A83:C83"/>
    <mergeCell ref="A93:C93"/>
    <mergeCell ref="A130:C130"/>
    <mergeCell ref="A107:C107"/>
    <mergeCell ref="A108:C108"/>
    <mergeCell ref="A109:C109"/>
    <mergeCell ref="A116:C116"/>
    <mergeCell ref="A117:C117"/>
    <mergeCell ref="A118:C118"/>
    <mergeCell ref="A119:C119"/>
    <mergeCell ref="A123:C123"/>
    <mergeCell ref="A120:C120"/>
    <mergeCell ref="A210:C210"/>
    <mergeCell ref="A211:C211"/>
    <mergeCell ref="A212:C212"/>
    <mergeCell ref="A218:C218"/>
    <mergeCell ref="A9:C9"/>
    <mergeCell ref="A10:C10"/>
    <mergeCell ref="A113:C113"/>
    <mergeCell ref="A11:C11"/>
    <mergeCell ref="A51:C51"/>
    <mergeCell ref="A42:C42"/>
    <mergeCell ref="A43:C43"/>
    <mergeCell ref="A46:C46"/>
    <mergeCell ref="A47:C47"/>
    <mergeCell ref="A40:C40"/>
    <mergeCell ref="A41:C41"/>
    <mergeCell ref="A44:C44"/>
    <mergeCell ref="A45:C45"/>
    <mergeCell ref="A50:C50"/>
    <mergeCell ref="A33:C33"/>
    <mergeCell ref="A34:C34"/>
    <mergeCell ref="A35:C35"/>
    <mergeCell ref="A1:J1"/>
    <mergeCell ref="A6:D6"/>
    <mergeCell ref="A230:C230"/>
    <mergeCell ref="A236:C236"/>
    <mergeCell ref="A220:C220"/>
    <mergeCell ref="A223:C223"/>
    <mergeCell ref="A224:C224"/>
    <mergeCell ref="A7:C7"/>
    <mergeCell ref="A8:C8"/>
    <mergeCell ref="A3:G3"/>
    <mergeCell ref="A5:C5"/>
    <mergeCell ref="A36:C36"/>
    <mergeCell ref="A231:C231"/>
    <mergeCell ref="A196:C196"/>
    <mergeCell ref="A197:C197"/>
    <mergeCell ref="A189:C189"/>
    <mergeCell ref="A190:C190"/>
    <mergeCell ref="A191:C191"/>
    <mergeCell ref="A192:C192"/>
    <mergeCell ref="A195:C195"/>
    <mergeCell ref="A194:C194"/>
    <mergeCell ref="A205:C205"/>
    <mergeCell ref="A208:C208"/>
    <mergeCell ref="A209:C209"/>
  </mergeCells>
  <pageMargins left="0.70866141732283461" right="0.70866141732283461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zoomScale="150" zoomScaleNormal="150" workbookViewId="0">
      <pane xSplit="1" topLeftCell="B1" activePane="topRight" state="frozen"/>
      <selection activeCell="K22" sqref="K22"/>
      <selection pane="topRight" activeCell="C48" sqref="C48"/>
    </sheetView>
  </sheetViews>
  <sheetFormatPr defaultRowHeight="14.25" x14ac:dyDescent="0.2"/>
  <cols>
    <col min="1" max="1" width="11.140625" style="197" customWidth="1"/>
    <col min="2" max="2" width="52.5703125" style="198" customWidth="1"/>
    <col min="3" max="3" width="24.7109375" style="199" customWidth="1"/>
    <col min="4" max="4" width="25.7109375" style="201" customWidth="1"/>
    <col min="5" max="5" width="13.42578125" style="201" customWidth="1"/>
    <col min="6" max="7" width="0" style="201" hidden="1" customWidth="1"/>
    <col min="8" max="8" width="10.42578125" style="201" customWidth="1"/>
    <col min="9" max="16384" width="9.140625" style="201"/>
  </cols>
  <sheetData>
    <row r="1" spans="1:8" s="151" customFormat="1" ht="15" x14ac:dyDescent="0.25">
      <c r="A1" s="150"/>
      <c r="B1" s="268"/>
      <c r="C1" s="268"/>
      <c r="D1" s="268"/>
      <c r="E1" s="268"/>
    </row>
    <row r="2" spans="1:8" s="151" customFormat="1" ht="24.75" customHeight="1" x14ac:dyDescent="0.35">
      <c r="A2" s="269" t="s">
        <v>213</v>
      </c>
      <c r="B2" s="270"/>
      <c r="C2" s="270"/>
      <c r="D2" s="270"/>
      <c r="E2" s="270"/>
      <c r="F2" s="152"/>
      <c r="G2" s="152"/>
      <c r="H2" s="152"/>
    </row>
    <row r="3" spans="1:8" s="151" customFormat="1" ht="20.25" customHeight="1" x14ac:dyDescent="0.25">
      <c r="A3" s="152"/>
      <c r="B3" s="271" t="s">
        <v>214</v>
      </c>
      <c r="C3" s="271"/>
      <c r="D3" s="271"/>
      <c r="E3" s="271"/>
      <c r="F3" s="152"/>
      <c r="G3" s="152"/>
      <c r="H3" s="152"/>
    </row>
    <row r="4" spans="1:8" s="151" customFormat="1" ht="20.25" customHeight="1" x14ac:dyDescent="0.25">
      <c r="A4" s="152"/>
      <c r="B4" s="152"/>
      <c r="C4" s="153"/>
      <c r="D4" s="152"/>
      <c r="E4" s="152"/>
      <c r="F4" s="152"/>
      <c r="G4" s="152"/>
      <c r="H4" s="152"/>
    </row>
    <row r="5" spans="1:8" s="151" customFormat="1" ht="18" customHeight="1" x14ac:dyDescent="0.3">
      <c r="A5" s="154" t="s">
        <v>215</v>
      </c>
      <c r="B5" s="155"/>
      <c r="C5" s="156"/>
      <c r="D5" s="155"/>
      <c r="E5" s="157"/>
    </row>
    <row r="6" spans="1:8" s="151" customFormat="1" ht="15" customHeight="1" x14ac:dyDescent="0.25">
      <c r="A6" s="158" t="s">
        <v>226</v>
      </c>
      <c r="C6" s="159"/>
      <c r="E6" s="160"/>
    </row>
    <row r="7" spans="1:8" s="151" customFormat="1" ht="16.5" customHeight="1" x14ac:dyDescent="0.25">
      <c r="A7" s="161"/>
      <c r="C7" s="159"/>
      <c r="E7" s="160"/>
    </row>
    <row r="8" spans="1:8" s="151" customFormat="1" ht="8.25" customHeight="1" x14ac:dyDescent="0.25">
      <c r="A8" s="162"/>
      <c r="B8" s="162"/>
      <c r="C8" s="163"/>
      <c r="D8" s="162"/>
      <c r="E8" s="164"/>
    </row>
    <row r="9" spans="1:8" s="151" customFormat="1" ht="15.75" customHeight="1" x14ac:dyDescent="0.25">
      <c r="A9" s="162"/>
      <c r="B9" s="162">
        <v>1</v>
      </c>
      <c r="C9" s="165">
        <v>2</v>
      </c>
      <c r="D9" s="166" t="s">
        <v>137</v>
      </c>
      <c r="E9" s="166" t="s">
        <v>212</v>
      </c>
      <c r="F9" s="162"/>
      <c r="G9" s="162"/>
    </row>
    <row r="10" spans="1:8" s="160" customFormat="1" ht="43.5" x14ac:dyDescent="0.25">
      <c r="A10" s="167" t="s">
        <v>135</v>
      </c>
      <c r="B10" s="167" t="s">
        <v>216</v>
      </c>
      <c r="C10" s="168" t="s">
        <v>211</v>
      </c>
      <c r="D10" s="167" t="s">
        <v>227</v>
      </c>
      <c r="E10" s="169" t="s">
        <v>217</v>
      </c>
      <c r="F10" s="170" t="s">
        <v>133</v>
      </c>
      <c r="G10" s="170" t="s">
        <v>134</v>
      </c>
    </row>
    <row r="11" spans="1:8" s="151" customFormat="1" ht="14.25" customHeight="1" x14ac:dyDescent="0.25">
      <c r="A11" s="171"/>
      <c r="B11" s="171"/>
      <c r="C11" s="172"/>
      <c r="D11" s="173"/>
      <c r="E11" s="173"/>
      <c r="F11" s="174">
        <f>SUM(F12:F18)</f>
        <v>0</v>
      </c>
      <c r="G11" s="174">
        <f>SUM(G12:G18)</f>
        <v>0</v>
      </c>
    </row>
    <row r="12" spans="1:8" s="151" customFormat="1" ht="14.25" customHeight="1" x14ac:dyDescent="0.25">
      <c r="A12" s="175">
        <v>1</v>
      </c>
      <c r="B12" s="175" t="s">
        <v>218</v>
      </c>
      <c r="C12" s="176">
        <f>C13+C14</f>
        <v>873514.65999999992</v>
      </c>
      <c r="D12" s="176">
        <f>D13+D14</f>
        <v>336963.63</v>
      </c>
      <c r="E12" s="173">
        <f>D12/C12*100</f>
        <v>38.57561245737994</v>
      </c>
      <c r="F12" s="151">
        <v>0</v>
      </c>
      <c r="G12" s="151">
        <v>0</v>
      </c>
    </row>
    <row r="13" spans="1:8" s="151" customFormat="1" ht="14.25" customHeight="1" x14ac:dyDescent="0.25">
      <c r="A13" s="177"/>
      <c r="B13" s="178" t="s">
        <v>219</v>
      </c>
      <c r="C13" s="179">
        <v>436757.33</v>
      </c>
      <c r="D13" s="180">
        <v>169951.23</v>
      </c>
      <c r="E13" s="173">
        <f t="shared" ref="E13:E49" si="0">D13/C13*100</f>
        <v>38.912049856152386</v>
      </c>
    </row>
    <row r="14" spans="1:8" s="151" customFormat="1" ht="14.25" customHeight="1" x14ac:dyDescent="0.25">
      <c r="A14" s="177"/>
      <c r="B14" s="181" t="s">
        <v>136</v>
      </c>
      <c r="C14" s="179">
        <f>150243.33+182714+703.43+58053.1+5043.47+40000</f>
        <v>436757.3299999999</v>
      </c>
      <c r="D14" s="180">
        <f>70699.72+95440.75+496.93+375</f>
        <v>167012.4</v>
      </c>
      <c r="E14" s="173">
        <f t="shared" si="0"/>
        <v>38.239175058607493</v>
      </c>
    </row>
    <row r="15" spans="1:8" s="206" customFormat="1" ht="14.25" customHeight="1" x14ac:dyDescent="0.25">
      <c r="A15" s="202"/>
      <c r="B15" s="203" t="s">
        <v>230</v>
      </c>
      <c r="C15" s="204">
        <f>C13-C14</f>
        <v>0</v>
      </c>
      <c r="D15" s="204">
        <f>D13-D14</f>
        <v>2938.8300000000163</v>
      </c>
      <c r="E15" s="205"/>
    </row>
    <row r="16" spans="1:8" s="151" customFormat="1" ht="14.25" customHeight="1" x14ac:dyDescent="0.25">
      <c r="A16" s="177"/>
      <c r="B16" s="178"/>
      <c r="C16" s="179"/>
      <c r="D16" s="182"/>
      <c r="E16" s="173"/>
    </row>
    <row r="17" spans="1:5" s="151" customFormat="1" ht="14.25" customHeight="1" x14ac:dyDescent="0.25">
      <c r="A17" s="183">
        <v>3</v>
      </c>
      <c r="B17" s="184" t="s">
        <v>220</v>
      </c>
      <c r="C17" s="185">
        <f>C19+C18</f>
        <v>10864.31</v>
      </c>
      <c r="D17" s="185">
        <f>D19+D18</f>
        <v>4483.8999999999996</v>
      </c>
      <c r="E17" s="173">
        <f t="shared" si="0"/>
        <v>41.271834106353737</v>
      </c>
    </row>
    <row r="18" spans="1:5" s="151" customFormat="1" ht="14.25" customHeight="1" x14ac:dyDescent="0.25">
      <c r="A18" s="177"/>
      <c r="B18" s="186" t="s">
        <v>219</v>
      </c>
      <c r="C18" s="179">
        <f>92.9+3450.81+132.72</f>
        <v>3676.43</v>
      </c>
      <c r="D18" s="182">
        <f>0.01+1473.91</f>
        <v>1473.92</v>
      </c>
      <c r="E18" s="173">
        <f t="shared" si="0"/>
        <v>40.091066605375325</v>
      </c>
    </row>
    <row r="19" spans="1:5" s="151" customFormat="1" ht="20.100000000000001" customHeight="1" x14ac:dyDescent="0.25">
      <c r="A19" s="183"/>
      <c r="B19" s="181" t="s">
        <v>136</v>
      </c>
      <c r="C19" s="179">
        <f>331.82+158.33+1221.04+1761.42+159.26+39.82+30+1924.49+1561.7</f>
        <v>7187.88</v>
      </c>
      <c r="D19" s="179">
        <f>1621.98+1388</f>
        <v>3009.98</v>
      </c>
      <c r="E19" s="173">
        <f t="shared" si="0"/>
        <v>41.875768655013715</v>
      </c>
    </row>
    <row r="20" spans="1:5" s="206" customFormat="1" ht="20.100000000000001" customHeight="1" x14ac:dyDescent="0.25">
      <c r="A20" s="207"/>
      <c r="B20" s="208" t="s">
        <v>230</v>
      </c>
      <c r="C20" s="204">
        <f>C18-C19</f>
        <v>-3511.4500000000003</v>
      </c>
      <c r="D20" s="204">
        <f>D18-D19</f>
        <v>-1536.06</v>
      </c>
      <c r="E20" s="205"/>
    </row>
    <row r="21" spans="1:5" s="190" customFormat="1" ht="20.100000000000001" customHeight="1" x14ac:dyDescent="0.25">
      <c r="A21" s="187"/>
      <c r="B21" s="188" t="s">
        <v>228</v>
      </c>
      <c r="C21" s="189">
        <v>3511.45</v>
      </c>
      <c r="D21" s="189">
        <v>3009.98</v>
      </c>
      <c r="E21" s="173">
        <f t="shared" si="0"/>
        <v>85.719004969457075</v>
      </c>
    </row>
    <row r="22" spans="1:5" s="151" customFormat="1" ht="14.25" customHeight="1" x14ac:dyDescent="0.25">
      <c r="A22" s="177"/>
      <c r="B22" s="178"/>
      <c r="C22" s="179"/>
      <c r="D22" s="182"/>
      <c r="E22" s="173"/>
    </row>
    <row r="23" spans="1:5" s="151" customFormat="1" ht="14.25" customHeight="1" x14ac:dyDescent="0.25">
      <c r="A23" s="183">
        <v>4</v>
      </c>
      <c r="B23" s="184" t="s">
        <v>221</v>
      </c>
      <c r="C23" s="185">
        <f>C25+C24</f>
        <v>191346.27</v>
      </c>
      <c r="D23" s="185">
        <f>D25+D24</f>
        <v>74760.58</v>
      </c>
      <c r="E23" s="173">
        <f t="shared" si="0"/>
        <v>39.070832162027514</v>
      </c>
    </row>
    <row r="24" spans="1:5" s="151" customFormat="1" ht="14.25" customHeight="1" x14ac:dyDescent="0.25">
      <c r="A24" s="177"/>
      <c r="B24" s="186" t="s">
        <v>219</v>
      </c>
      <c r="C24" s="179">
        <f>92654.45</f>
        <v>92654.45</v>
      </c>
      <c r="D24" s="182">
        <f>42309.21</f>
        <v>42309.21</v>
      </c>
      <c r="E24" s="173">
        <f t="shared" si="0"/>
        <v>45.663440881684579</v>
      </c>
    </row>
    <row r="25" spans="1:5" s="151" customFormat="1" ht="14.25" customHeight="1" x14ac:dyDescent="0.25">
      <c r="A25" s="177"/>
      <c r="B25" s="181" t="s">
        <v>136</v>
      </c>
      <c r="C25" s="179">
        <f>3000+74930.89+200+1123.56+13400+6037.37</f>
        <v>98691.819999999992</v>
      </c>
      <c r="D25" s="182">
        <f>1706.65+24609.72+126.07+6008.93</f>
        <v>32451.370000000003</v>
      </c>
      <c r="E25" s="173">
        <f t="shared" si="0"/>
        <v>32.881519461288697</v>
      </c>
    </row>
    <row r="26" spans="1:5" s="206" customFormat="1" ht="14.25" customHeight="1" x14ac:dyDescent="0.25">
      <c r="A26" s="202"/>
      <c r="B26" s="208" t="s">
        <v>230</v>
      </c>
      <c r="C26" s="204">
        <f>C24-C25</f>
        <v>-6037.3699999999953</v>
      </c>
      <c r="D26" s="204">
        <f>D24-D25</f>
        <v>9857.8399999999965</v>
      </c>
      <c r="E26" s="205"/>
    </row>
    <row r="27" spans="1:5" s="190" customFormat="1" ht="14.25" customHeight="1" x14ac:dyDescent="0.25">
      <c r="A27" s="187"/>
      <c r="B27" s="188" t="s">
        <v>228</v>
      </c>
      <c r="C27" s="189">
        <v>6037.37</v>
      </c>
      <c r="D27" s="189">
        <v>6008.93</v>
      </c>
      <c r="E27" s="173">
        <f t="shared" si="0"/>
        <v>99.52893395634193</v>
      </c>
    </row>
    <row r="28" spans="1:5" s="151" customFormat="1" ht="14.25" customHeight="1" x14ac:dyDescent="0.25">
      <c r="A28" s="177"/>
      <c r="B28" s="178"/>
      <c r="C28" s="179"/>
      <c r="D28" s="182"/>
      <c r="E28" s="173"/>
    </row>
    <row r="29" spans="1:5" s="151" customFormat="1" ht="14.25" customHeight="1" x14ac:dyDescent="0.25">
      <c r="A29" s="183">
        <v>5</v>
      </c>
      <c r="B29" s="184" t="s">
        <v>222</v>
      </c>
      <c r="C29" s="185">
        <f>C31+C30</f>
        <v>5607215.0499999989</v>
      </c>
      <c r="D29" s="185">
        <f>D31+D30</f>
        <v>2704654.8200000003</v>
      </c>
      <c r="E29" s="173">
        <f t="shared" si="0"/>
        <v>48.235261103459919</v>
      </c>
    </row>
    <row r="30" spans="1:5" s="151" customFormat="1" ht="14.25" customHeight="1" x14ac:dyDescent="0.25">
      <c r="A30" s="177"/>
      <c r="B30" s="186" t="s">
        <v>219</v>
      </c>
      <c r="C30" s="179">
        <f>2707605.05+86979.23</f>
        <v>2794584.28</v>
      </c>
      <c r="D30" s="182">
        <f>1295436.4+40917.91</f>
        <v>1336354.3099999998</v>
      </c>
      <c r="E30" s="173">
        <f t="shared" si="0"/>
        <v>47.819431303750122</v>
      </c>
    </row>
    <row r="31" spans="1:5" s="151" customFormat="1" ht="14.25" customHeight="1" x14ac:dyDescent="0.25">
      <c r="A31" s="177"/>
      <c r="B31" s="181" t="s">
        <v>136</v>
      </c>
      <c r="C31" s="179">
        <f>11619.74+55972.05+2310526.74+1044.55+31007.18+4718.59+305862.8+663.61+74192.05+2423.95+14599.51</f>
        <v>2812630.7699999996</v>
      </c>
      <c r="D31" s="182">
        <f>7402.2+40193.16+1137459.49+573.36+10081.56+171423.08+1096.37+71.29</f>
        <v>1368300.5100000005</v>
      </c>
      <c r="E31" s="173">
        <f t="shared" si="0"/>
        <v>48.648422842931524</v>
      </c>
    </row>
    <row r="32" spans="1:5" s="206" customFormat="1" ht="14.25" customHeight="1" x14ac:dyDescent="0.25">
      <c r="A32" s="202"/>
      <c r="B32" s="208" t="s">
        <v>230</v>
      </c>
      <c r="C32" s="204">
        <f>C30-C31</f>
        <v>-18046.489999999758</v>
      </c>
      <c r="D32" s="204">
        <f>D30-D31</f>
        <v>-31946.200000000652</v>
      </c>
      <c r="E32" s="205"/>
    </row>
    <row r="33" spans="1:5" s="151" customFormat="1" ht="14.25" customHeight="1" x14ac:dyDescent="0.25">
      <c r="A33" s="177"/>
      <c r="B33" s="188" t="s">
        <v>228</v>
      </c>
      <c r="C33" s="189">
        <f>12664.29+4718.59+663.61</f>
        <v>18046.490000000002</v>
      </c>
      <c r="D33" s="191">
        <f>7975.56</f>
        <v>7975.56</v>
      </c>
      <c r="E33" s="173">
        <f t="shared" si="0"/>
        <v>44.194522037249342</v>
      </c>
    </row>
    <row r="34" spans="1:5" s="151" customFormat="1" ht="14.25" customHeight="1" x14ac:dyDescent="0.25">
      <c r="A34" s="177"/>
      <c r="B34" s="178"/>
      <c r="C34" s="179"/>
      <c r="D34" s="182"/>
      <c r="E34" s="173"/>
    </row>
    <row r="35" spans="1:5" s="190" customFormat="1" ht="14.25" customHeight="1" x14ac:dyDescent="0.25">
      <c r="A35" s="192">
        <v>6</v>
      </c>
      <c r="B35" s="193" t="s">
        <v>223</v>
      </c>
      <c r="C35" s="185">
        <f>C37+C36</f>
        <v>7760.74</v>
      </c>
      <c r="D35" s="185">
        <f>D37+D36</f>
        <v>4015.14</v>
      </c>
      <c r="E35" s="173">
        <f t="shared" si="0"/>
        <v>51.736561204215057</v>
      </c>
    </row>
    <row r="36" spans="1:5" s="151" customFormat="1" ht="14.25" customHeight="1" x14ac:dyDescent="0.25">
      <c r="A36" s="177"/>
      <c r="B36" s="186" t="s">
        <v>219</v>
      </c>
      <c r="C36" s="179">
        <f>3774.19</f>
        <v>3774.19</v>
      </c>
      <c r="D36" s="182">
        <f>3017.64</f>
        <v>3017.64</v>
      </c>
      <c r="E36" s="173">
        <f t="shared" si="0"/>
        <v>79.954639273592477</v>
      </c>
    </row>
    <row r="37" spans="1:5" s="151" customFormat="1" ht="14.25" customHeight="1" x14ac:dyDescent="0.25">
      <c r="A37" s="177"/>
      <c r="B37" s="181" t="s">
        <v>136</v>
      </c>
      <c r="C37" s="179">
        <f>530.89+1116.07+212.36+2127.23</f>
        <v>3986.55</v>
      </c>
      <c r="D37" s="182">
        <f>197.5+800</f>
        <v>997.5</v>
      </c>
      <c r="E37" s="173">
        <f t="shared" si="0"/>
        <v>25.021635248523154</v>
      </c>
    </row>
    <row r="38" spans="1:5" s="206" customFormat="1" ht="14.25" customHeight="1" x14ac:dyDescent="0.25">
      <c r="A38" s="202"/>
      <c r="B38" s="208" t="s">
        <v>230</v>
      </c>
      <c r="C38" s="204">
        <f>C36-C37</f>
        <v>-212.36000000000013</v>
      </c>
      <c r="D38" s="204">
        <f>D36-D37</f>
        <v>2020.1399999999999</v>
      </c>
      <c r="E38" s="205"/>
    </row>
    <row r="39" spans="1:5" s="151" customFormat="1" ht="14.25" customHeight="1" x14ac:dyDescent="0.25">
      <c r="A39" s="177"/>
      <c r="B39" s="188" t="s">
        <v>228</v>
      </c>
      <c r="C39" s="189">
        <v>212.36</v>
      </c>
      <c r="D39" s="191"/>
      <c r="E39" s="173"/>
    </row>
    <row r="40" spans="1:5" s="151" customFormat="1" ht="14.25" customHeight="1" x14ac:dyDescent="0.25">
      <c r="A40" s="177"/>
      <c r="B40" s="178"/>
      <c r="C40" s="179"/>
      <c r="D40" s="182"/>
      <c r="E40" s="173"/>
    </row>
    <row r="41" spans="1:5" s="151" customFormat="1" ht="14.25" customHeight="1" x14ac:dyDescent="0.25">
      <c r="A41" s="183">
        <v>7</v>
      </c>
      <c r="B41" s="184" t="s">
        <v>224</v>
      </c>
      <c r="C41" s="179"/>
      <c r="D41" s="182"/>
      <c r="E41" s="173"/>
    </row>
    <row r="42" spans="1:5" s="151" customFormat="1" ht="14.25" customHeight="1" x14ac:dyDescent="0.25">
      <c r="A42" s="177"/>
      <c r="B42" s="186" t="s">
        <v>219</v>
      </c>
      <c r="C42" s="179"/>
      <c r="D42" s="182"/>
      <c r="E42" s="173"/>
    </row>
    <row r="43" spans="1:5" s="151" customFormat="1" ht="14.25" customHeight="1" x14ac:dyDescent="0.25">
      <c r="A43" s="177"/>
      <c r="B43" s="181" t="s">
        <v>136</v>
      </c>
      <c r="C43" s="179"/>
      <c r="D43" s="182"/>
      <c r="E43" s="173"/>
    </row>
    <row r="44" spans="1:5" s="151" customFormat="1" ht="14.25" customHeight="1" x14ac:dyDescent="0.25">
      <c r="A44" s="177"/>
      <c r="B44" s="188" t="s">
        <v>228</v>
      </c>
      <c r="C44" s="189"/>
      <c r="D44" s="191"/>
      <c r="E44" s="173" t="e">
        <f t="shared" si="0"/>
        <v>#DIV/0!</v>
      </c>
    </row>
    <row r="45" spans="1:5" s="151" customFormat="1" ht="14.25" customHeight="1" x14ac:dyDescent="0.25">
      <c r="A45" s="177"/>
      <c r="B45" s="178"/>
      <c r="C45" s="179"/>
      <c r="D45" s="182"/>
      <c r="E45" s="173"/>
    </row>
    <row r="46" spans="1:5" s="151" customFormat="1" ht="14.25" customHeight="1" x14ac:dyDescent="0.25">
      <c r="A46" s="177"/>
      <c r="B46" s="178"/>
      <c r="C46" s="179"/>
      <c r="D46" s="182"/>
      <c r="E46" s="173"/>
    </row>
    <row r="47" spans="1:5" s="151" customFormat="1" ht="14.25" customHeight="1" x14ac:dyDescent="0.25">
      <c r="A47" s="177"/>
      <c r="B47" s="194" t="s">
        <v>225</v>
      </c>
      <c r="C47" s="185">
        <f>C13+C18+C24+C30+C36+C42</f>
        <v>3331446.6799999997</v>
      </c>
      <c r="D47" s="185">
        <f>D13+D18+D24+D30+D36+D42</f>
        <v>1553106.3099999998</v>
      </c>
      <c r="E47" s="173">
        <f t="shared" si="0"/>
        <v>46.619575793420772</v>
      </c>
    </row>
    <row r="48" spans="1:5" s="190" customFormat="1" ht="14.25" customHeight="1" x14ac:dyDescent="0.25">
      <c r="A48" s="187"/>
      <c r="B48" s="194" t="s">
        <v>24</v>
      </c>
      <c r="C48" s="185">
        <f>C14+C19+C25+C31+C37+C43</f>
        <v>3359254.3499999992</v>
      </c>
      <c r="D48" s="185">
        <f>D14+D19+D25+D31+D37+D43</f>
        <v>1571771.7600000005</v>
      </c>
      <c r="E48" s="173">
        <f t="shared" si="0"/>
        <v>46.789304894403152</v>
      </c>
    </row>
    <row r="49" spans="1:5" s="151" customFormat="1" ht="14.25" customHeight="1" x14ac:dyDescent="0.25">
      <c r="A49" s="177"/>
      <c r="B49" s="194" t="s">
        <v>229</v>
      </c>
      <c r="C49" s="189">
        <f>C15+C21+C27+C33+C39+C44</f>
        <v>27807.670000000002</v>
      </c>
      <c r="D49" s="189">
        <f>D21+D27+D33+D39+D44</f>
        <v>16994.47</v>
      </c>
      <c r="E49" s="173">
        <f t="shared" si="0"/>
        <v>61.114325651879497</v>
      </c>
    </row>
    <row r="50" spans="1:5" s="151" customFormat="1" ht="14.25" customHeight="1" x14ac:dyDescent="0.25">
      <c r="A50" s="177"/>
      <c r="B50" s="178"/>
      <c r="C50" s="179"/>
      <c r="D50" s="195"/>
      <c r="E50" s="173"/>
    </row>
    <row r="51" spans="1:5" s="151" customFormat="1" ht="15" x14ac:dyDescent="0.25">
      <c r="A51" s="177"/>
      <c r="B51" s="178"/>
      <c r="C51" s="179">
        <f>C48+C49</f>
        <v>3387062.0199999991</v>
      </c>
      <c r="D51" s="196">
        <f>D48+D49</f>
        <v>1588766.2300000004</v>
      </c>
      <c r="E51" s="173"/>
    </row>
    <row r="52" spans="1:5" x14ac:dyDescent="0.2">
      <c r="D52" s="200"/>
    </row>
  </sheetData>
  <mergeCells count="3">
    <mergeCell ref="B1:E1"/>
    <mergeCell ref="A2:E2"/>
    <mergeCell ref="B3:E3"/>
  </mergeCells>
  <pageMargins left="0.19685039370078741" right="0.19685039370078741" top="0" bottom="0" header="0.7086614173228347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POSEBNI DIO</vt:lpstr>
      <vt:lpstr>KONTROLNA TABLICA</vt:lpstr>
      <vt:lpstr>'KONTROLNA TABLICA'!Print_Titles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2023-07-20T10:13:18Z</cp:lastPrinted>
  <dcterms:created xsi:type="dcterms:W3CDTF">2022-08-12T12:51:27Z</dcterms:created>
  <dcterms:modified xsi:type="dcterms:W3CDTF">2023-07-24T10:49:02Z</dcterms:modified>
</cp:coreProperties>
</file>