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AŽETAK" sheetId="1" r:id="rId1"/>
    <sheet name=" Račun prihoda i rashoda" sheetId="3" r:id="rId2"/>
    <sheet name=" Račun prihoda i rashoda po eko" sheetId="11" r:id="rId3"/>
    <sheet name="Prihodi i rashodi po izvorima" sheetId="12" r:id="rId4"/>
    <sheet name="Rashodi prema funkcijskoj kl" sheetId="5" r:id="rId5"/>
    <sheet name="POSEBNI DIO" sheetId="7" r:id="rId6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 l="1"/>
  <c r="G24" i="12" l="1"/>
  <c r="G25" i="12"/>
  <c r="G26" i="12"/>
  <c r="G27" i="12"/>
  <c r="G28" i="12"/>
  <c r="G29" i="12"/>
  <c r="G30" i="12"/>
  <c r="G31" i="12"/>
  <c r="G32" i="12"/>
  <c r="G33" i="12"/>
  <c r="G34" i="12"/>
  <c r="G35" i="12"/>
  <c r="G36" i="12"/>
  <c r="G23" i="12"/>
  <c r="F24" i="12"/>
  <c r="E24" i="12"/>
  <c r="F33" i="12"/>
  <c r="E33" i="12"/>
  <c r="F35" i="12"/>
  <c r="E35" i="12"/>
  <c r="F28" i="12"/>
  <c r="E28" i="12"/>
  <c r="F27" i="12"/>
  <c r="E27" i="12"/>
  <c r="F26" i="12"/>
  <c r="E26" i="12"/>
  <c r="E25" i="12"/>
  <c r="F25" i="12"/>
  <c r="F36" i="12"/>
  <c r="E36" i="12"/>
  <c r="F34" i="12"/>
  <c r="E34" i="12"/>
  <c r="E32" i="12"/>
  <c r="F31" i="12"/>
  <c r="E31" i="12"/>
  <c r="F30" i="12"/>
  <c r="E30" i="12"/>
  <c r="F29" i="12"/>
  <c r="E29" i="12"/>
  <c r="G11" i="12"/>
  <c r="G12" i="12"/>
  <c r="G13" i="12"/>
  <c r="G14" i="12"/>
  <c r="G15" i="12"/>
  <c r="G16" i="12"/>
  <c r="G17" i="12"/>
  <c r="G10" i="12"/>
  <c r="F16" i="12"/>
  <c r="E16" i="12"/>
  <c r="F12" i="12"/>
  <c r="E12" i="12"/>
  <c r="G24" i="11"/>
  <c r="G25" i="11"/>
  <c r="G26" i="11"/>
  <c r="G27" i="11"/>
  <c r="G28" i="11"/>
  <c r="G29" i="11"/>
  <c r="G30" i="11"/>
  <c r="G31" i="11"/>
  <c r="G32" i="11"/>
  <c r="G23" i="11"/>
  <c r="G11" i="11"/>
  <c r="G12" i="11"/>
  <c r="G13" i="11"/>
  <c r="G14" i="11"/>
  <c r="G15" i="11"/>
  <c r="G16" i="11"/>
  <c r="G17" i="11"/>
  <c r="G18" i="11"/>
  <c r="G10" i="11"/>
  <c r="E10" i="12"/>
  <c r="F30" i="11"/>
  <c r="E30" i="11"/>
  <c r="F24" i="11"/>
  <c r="E24" i="11"/>
  <c r="F11" i="11"/>
  <c r="F10" i="11" s="1"/>
  <c r="E11" i="11"/>
  <c r="E10" i="11" s="1"/>
  <c r="F23" i="12" l="1"/>
  <c r="E23" i="12"/>
  <c r="E23" i="11"/>
  <c r="F23" i="11"/>
  <c r="F10" i="12"/>
  <c r="C12" i="5"/>
  <c r="C13" i="5"/>
  <c r="D12" i="5"/>
  <c r="F22" i="3" l="1"/>
  <c r="F16" i="3"/>
  <c r="F12" i="3"/>
  <c r="F38" i="3"/>
  <c r="F43" i="3"/>
  <c r="H13" i="1" l="1"/>
  <c r="G13" i="1"/>
  <c r="H12" i="1"/>
  <c r="G12" i="1"/>
  <c r="H9" i="1"/>
  <c r="E202" i="7"/>
  <c r="E7" i="7" s="1"/>
  <c r="F231" i="3"/>
  <c r="F120" i="3"/>
  <c r="F84" i="3"/>
  <c r="F119" i="3"/>
  <c r="F83" i="3"/>
  <c r="F265" i="3"/>
  <c r="F264" i="3"/>
  <c r="F246" i="3"/>
  <c r="G261" i="3"/>
  <c r="G246" i="3"/>
  <c r="G231" i="3"/>
  <c r="G82" i="3" s="1"/>
  <c r="G79" i="3" s="1"/>
  <c r="G119" i="3"/>
  <c r="G83" i="3"/>
  <c r="H98" i="3"/>
  <c r="G123" i="3"/>
  <c r="G90" i="3"/>
  <c r="G88" i="3"/>
  <c r="G86" i="3"/>
  <c r="F191" i="3"/>
  <c r="G193" i="3"/>
  <c r="G110" i="3"/>
  <c r="G108" i="3"/>
  <c r="F197" i="3"/>
  <c r="G200" i="3"/>
  <c r="F111" i="3"/>
  <c r="G117" i="3"/>
  <c r="G113" i="3"/>
  <c r="G122" i="3"/>
  <c r="G195" i="3"/>
  <c r="G203" i="3"/>
  <c r="G131" i="3"/>
  <c r="G128" i="3"/>
  <c r="F247" i="3"/>
  <c r="G248" i="3"/>
  <c r="G247" i="3"/>
  <c r="G145" i="3"/>
  <c r="G243" i="3"/>
  <c r="H243" i="3" s="1"/>
  <c r="G244" i="3"/>
  <c r="G241" i="3"/>
  <c r="G240" i="3" s="1"/>
  <c r="G236" i="3"/>
  <c r="G237" i="3"/>
  <c r="G228" i="3"/>
  <c r="G229" i="3"/>
  <c r="G219" i="3"/>
  <c r="G225" i="3"/>
  <c r="G222" i="3"/>
  <c r="G216" i="3"/>
  <c r="G214" i="3"/>
  <c r="G213" i="3" s="1"/>
  <c r="G262" i="3"/>
  <c r="G212" i="3"/>
  <c r="G210" i="3"/>
  <c r="G209" i="3"/>
  <c r="G207" i="3"/>
  <c r="G204" i="3"/>
  <c r="G202" i="3"/>
  <c r="G199" i="3"/>
  <c r="G182" i="3"/>
  <c r="G180" i="3"/>
  <c r="G179" i="3" s="1"/>
  <c r="H179" i="3" s="1"/>
  <c r="G254" i="3"/>
  <c r="G253" i="3" s="1"/>
  <c r="G178" i="3"/>
  <c r="G177" i="3"/>
  <c r="G176" i="3" s="1"/>
  <c r="G175" i="3"/>
  <c r="G174" i="3"/>
  <c r="G173" i="3"/>
  <c r="G172" i="3"/>
  <c r="G170" i="3"/>
  <c r="G169" i="3"/>
  <c r="G168" i="3"/>
  <c r="G167" i="3"/>
  <c r="G165" i="3"/>
  <c r="G162" i="3"/>
  <c r="G161" i="3"/>
  <c r="G160" i="3"/>
  <c r="G158" i="3"/>
  <c r="G154" i="3"/>
  <c r="G153" i="3"/>
  <c r="G151" i="3"/>
  <c r="G148" i="3"/>
  <c r="G147" i="3" s="1"/>
  <c r="G146" i="3" s="1"/>
  <c r="G206" i="3"/>
  <c r="G211" i="3"/>
  <c r="G115" i="3"/>
  <c r="G186" i="3"/>
  <c r="G185" i="3" s="1"/>
  <c r="H185" i="3" s="1"/>
  <c r="G101" i="3"/>
  <c r="G99" i="3"/>
  <c r="G97" i="3"/>
  <c r="G95" i="3"/>
  <c r="G235" i="3"/>
  <c r="G234" i="3"/>
  <c r="G144" i="3"/>
  <c r="G143" i="3"/>
  <c r="G142" i="3"/>
  <c r="G140" i="3"/>
  <c r="G139" i="3"/>
  <c r="G138" i="3"/>
  <c r="G137" i="3"/>
  <c r="G136" i="3"/>
  <c r="G135" i="3"/>
  <c r="G134" i="3"/>
  <c r="G132" i="3"/>
  <c r="G130" i="3"/>
  <c r="G129" i="3"/>
  <c r="G127" i="3"/>
  <c r="G125" i="3"/>
  <c r="G124" i="3"/>
  <c r="F266" i="3"/>
  <c r="G270" i="3"/>
  <c r="G268" i="3"/>
  <c r="G286" i="3"/>
  <c r="G285" i="3" s="1"/>
  <c r="G289" i="3"/>
  <c r="G278" i="3"/>
  <c r="G271" i="3"/>
  <c r="F70" i="3"/>
  <c r="G71" i="3"/>
  <c r="F71" i="3"/>
  <c r="G70" i="3"/>
  <c r="G75" i="3"/>
  <c r="F75" i="3"/>
  <c r="G74" i="3"/>
  <c r="F74" i="3"/>
  <c r="G72" i="3"/>
  <c r="H72" i="3" s="1"/>
  <c r="F72" i="3"/>
  <c r="F34" i="3"/>
  <c r="F47" i="3"/>
  <c r="E76" i="7"/>
  <c r="G14" i="3"/>
  <c r="G13" i="3" s="1"/>
  <c r="H13" i="3" s="1"/>
  <c r="G45" i="3"/>
  <c r="G44" i="3"/>
  <c r="G212" i="7"/>
  <c r="F235" i="7"/>
  <c r="F234" i="7"/>
  <c r="E234" i="7"/>
  <c r="E115" i="7"/>
  <c r="E199" i="7"/>
  <c r="G55" i="3"/>
  <c r="H62" i="3"/>
  <c r="F55" i="3"/>
  <c r="H73" i="3"/>
  <c r="F82" i="3" l="1"/>
  <c r="F79" i="3" s="1"/>
  <c r="G201" i="3"/>
  <c r="G126" i="3"/>
  <c r="G171" i="3"/>
  <c r="H74" i="3"/>
  <c r="G266" i="3"/>
  <c r="F69" i="3"/>
  <c r="H75" i="3"/>
  <c r="G267" i="3"/>
  <c r="G98" i="3"/>
  <c r="H71" i="3"/>
  <c r="H70" i="3"/>
  <c r="G69" i="3"/>
  <c r="H69" i="3" s="1"/>
  <c r="F97" i="7"/>
  <c r="F94" i="7"/>
  <c r="E71" i="7"/>
  <c r="E70" i="7" s="1"/>
  <c r="E11" i="7"/>
  <c r="E45" i="7"/>
  <c r="E38" i="7"/>
  <c r="E325" i="7"/>
  <c r="E249" i="7"/>
  <c r="E248" i="7" s="1"/>
  <c r="F13" i="7"/>
  <c r="F241" i="7"/>
  <c r="F283" i="7" l="1"/>
  <c r="F278" i="7"/>
  <c r="F269" i="7"/>
  <c r="F268" i="7" s="1"/>
  <c r="F271" i="7"/>
  <c r="G271" i="7" s="1"/>
  <c r="E266" i="7"/>
  <c r="F244" i="7"/>
  <c r="F240" i="7" s="1"/>
  <c r="F262" i="7"/>
  <c r="F290" i="7"/>
  <c r="I21" i="7"/>
  <c r="F226" i="7"/>
  <c r="F86" i="7"/>
  <c r="F83" i="7"/>
  <c r="F219" i="7"/>
  <c r="F127" i="7"/>
  <c r="F122" i="7"/>
  <c r="F187" i="7"/>
  <c r="F186" i="7"/>
  <c r="F184" i="7"/>
  <c r="F183" i="7" s="1"/>
  <c r="F201" i="7"/>
  <c r="F200" i="7" s="1"/>
  <c r="F199" i="7" s="1"/>
  <c r="E200" i="7"/>
  <c r="F129" i="7"/>
  <c r="F128" i="7"/>
  <c r="F125" i="7"/>
  <c r="F123" i="7"/>
  <c r="F120" i="7"/>
  <c r="F118" i="7"/>
  <c r="F213" i="7"/>
  <c r="F212" i="7" s="1"/>
  <c r="F211" i="7" s="1"/>
  <c r="E211" i="7"/>
  <c r="F156" i="7"/>
  <c r="F155" i="7"/>
  <c r="F152" i="7"/>
  <c r="F185" i="7" l="1"/>
  <c r="F121" i="7"/>
  <c r="F154" i="7"/>
  <c r="F182" i="7"/>
  <c r="F151" i="7"/>
  <c r="I19" i="7"/>
  <c r="F45" i="7"/>
  <c r="F41" i="7"/>
  <c r="F40" i="7"/>
  <c r="F34" i="7"/>
  <c r="F33" i="7"/>
  <c r="F32" i="7"/>
  <c r="F31" i="7"/>
  <c r="F29" i="7"/>
  <c r="F28" i="7"/>
  <c r="F27" i="7"/>
  <c r="F26" i="7"/>
  <c r="F24" i="7"/>
  <c r="F23" i="7"/>
  <c r="F19" i="7"/>
  <c r="F18" i="7"/>
  <c r="F17" i="7"/>
  <c r="F15" i="7"/>
  <c r="F14" i="7"/>
  <c r="F334" i="7"/>
  <c r="F331" i="7"/>
  <c r="F329" i="7"/>
  <c r="F328" i="7"/>
  <c r="F327" i="7"/>
  <c r="F258" i="7"/>
  <c r="F255" i="7"/>
  <c r="F253" i="7"/>
  <c r="F251" i="7"/>
  <c r="F169" i="7"/>
  <c r="F166" i="7"/>
  <c r="I17" i="7"/>
  <c r="F223" i="7"/>
  <c r="F222" i="7"/>
  <c r="F210" i="7"/>
  <c r="F209" i="7"/>
  <c r="F144" i="7"/>
  <c r="F143" i="7"/>
  <c r="F142" i="7"/>
  <c r="F141" i="7"/>
  <c r="F139" i="7"/>
  <c r="F138" i="7"/>
  <c r="F137" i="7"/>
  <c r="F136" i="7"/>
  <c r="F134" i="7"/>
  <c r="F68" i="7"/>
  <c r="F66" i="7"/>
  <c r="F149" i="7"/>
  <c r="F148" i="7" s="1"/>
  <c r="F145" i="7"/>
  <c r="F147" i="7"/>
  <c r="F146" i="7"/>
  <c r="F205" i="7"/>
  <c r="F204" i="7" s="1"/>
  <c r="I13" i="7"/>
  <c r="F179" i="7"/>
  <c r="F178" i="7" s="1"/>
  <c r="F177" i="7"/>
  <c r="F176" i="7"/>
  <c r="F173" i="7"/>
  <c r="F171" i="7"/>
  <c r="F165" i="7"/>
  <c r="F72" i="7"/>
  <c r="F75" i="7"/>
  <c r="F74" i="7" s="1"/>
  <c r="E74" i="7"/>
  <c r="F77" i="7"/>
  <c r="F76" i="7"/>
  <c r="G76" i="7" s="1"/>
  <c r="E77" i="7"/>
  <c r="E69" i="7"/>
  <c r="E72" i="7"/>
  <c r="F172" i="7"/>
  <c r="F167" i="7"/>
  <c r="F163" i="7"/>
  <c r="I10" i="7"/>
  <c r="F232" i="7"/>
  <c r="F231" i="7"/>
  <c r="F230" i="7"/>
  <c r="F197" i="7"/>
  <c r="F196" i="7"/>
  <c r="F195" i="7" s="1"/>
  <c r="F194" i="7"/>
  <c r="F193" i="7"/>
  <c r="F113" i="7"/>
  <c r="F112" i="7" s="1"/>
  <c r="F103" i="7"/>
  <c r="F105" i="7"/>
  <c r="F101" i="7"/>
  <c r="F96" i="7"/>
  <c r="F92" i="7"/>
  <c r="F71" i="7" l="1"/>
  <c r="G71" i="7" s="1"/>
  <c r="F229" i="7"/>
  <c r="F16" i="7"/>
  <c r="F221" i="7"/>
  <c r="F164" i="7"/>
  <c r="F202" i="7"/>
  <c r="F140" i="7"/>
  <c r="F192" i="7"/>
  <c r="I7" i="7"/>
  <c r="F70" i="7"/>
  <c r="F69" i="7" s="1"/>
  <c r="G69" i="7" s="1"/>
  <c r="G133" i="3" l="1"/>
  <c r="G141" i="3"/>
  <c r="G192" i="3"/>
  <c r="G109" i="3"/>
  <c r="F315" i="7"/>
  <c r="F314" i="7" s="1"/>
  <c r="F312" i="7"/>
  <c r="F300" i="7"/>
  <c r="G262" i="7"/>
  <c r="G244" i="7"/>
  <c r="G236" i="7"/>
  <c r="F225" i="7"/>
  <c r="F224" i="7" s="1"/>
  <c r="F218" i="7"/>
  <c r="F217" i="7" s="1"/>
  <c r="F215" i="7"/>
  <c r="F208" i="7"/>
  <c r="E208" i="7"/>
  <c r="F206" i="7"/>
  <c r="E206" i="7"/>
  <c r="F203" i="7"/>
  <c r="G235" i="7"/>
  <c r="G209" i="7"/>
  <c r="F190" i="7"/>
  <c r="F189" i="7" s="1"/>
  <c r="F175" i="7"/>
  <c r="F174" i="7" s="1"/>
  <c r="F170" i="7"/>
  <c r="F168" i="7"/>
  <c r="F162" i="7"/>
  <c r="F157" i="7"/>
  <c r="F135" i="7"/>
  <c r="F133" i="7"/>
  <c r="F126" i="7"/>
  <c r="F124" i="7"/>
  <c r="F119" i="7"/>
  <c r="F117" i="7"/>
  <c r="G178" i="7"/>
  <c r="G182" i="7"/>
  <c r="G158" i="7"/>
  <c r="G151" i="7"/>
  <c r="G148" i="7"/>
  <c r="G114" i="7"/>
  <c r="G108" i="7"/>
  <c r="G61" i="7"/>
  <c r="F104" i="7"/>
  <c r="F102" i="7"/>
  <c r="F100" i="7"/>
  <c r="F95" i="7"/>
  <c r="F93" i="7"/>
  <c r="F91" i="7"/>
  <c r="F89" i="7" s="1"/>
  <c r="F67" i="7"/>
  <c r="F65" i="7"/>
  <c r="F85" i="7"/>
  <c r="F84" i="7" s="1"/>
  <c r="G84" i="7" s="1"/>
  <c r="F82" i="7"/>
  <c r="F81" i="7" s="1"/>
  <c r="G81" i="7" s="1"/>
  <c r="G208" i="7" l="1"/>
  <c r="F233" i="7"/>
  <c r="F214" i="7"/>
  <c r="F64" i="7"/>
  <c r="G314" i="7"/>
  <c r="F228" i="7"/>
  <c r="F220" i="7"/>
  <c r="F161" i="7"/>
  <c r="F160" i="7" s="1"/>
  <c r="F159" i="7" s="1"/>
  <c r="F132" i="7"/>
  <c r="F90" i="7"/>
  <c r="F99" i="7"/>
  <c r="F116" i="7"/>
  <c r="F115" i="7" s="1"/>
  <c r="F80" i="7"/>
  <c r="F79" i="7" s="1"/>
  <c r="F30" i="7"/>
  <c r="F22" i="7"/>
  <c r="F12" i="7"/>
  <c r="F39" i="7"/>
  <c r="F38" i="7" s="1"/>
  <c r="G38" i="7" s="1"/>
  <c r="F53" i="7"/>
  <c r="F52" i="7" s="1"/>
  <c r="G52" i="7" s="1"/>
  <c r="F257" i="7"/>
  <c r="F256" i="7" s="1"/>
  <c r="G256" i="7" s="1"/>
  <c r="F254" i="7"/>
  <c r="F252" i="7"/>
  <c r="F250" i="7"/>
  <c r="F333" i="7"/>
  <c r="F332" i="7" s="1"/>
  <c r="G332" i="7" s="1"/>
  <c r="F330" i="7"/>
  <c r="F326" i="7"/>
  <c r="F282" i="7"/>
  <c r="F281" i="7" s="1"/>
  <c r="F277" i="7"/>
  <c r="F276" i="7" s="1"/>
  <c r="F267" i="7"/>
  <c r="F266" i="7" s="1"/>
  <c r="F310" i="7"/>
  <c r="F309" i="7" s="1"/>
  <c r="F308" i="7" s="1"/>
  <c r="F307" i="7" s="1"/>
  <c r="F305" i="7"/>
  <c r="F304" i="7" s="1"/>
  <c r="G304" i="7" s="1"/>
  <c r="F302" i="7"/>
  <c r="F295" i="7"/>
  <c r="F294" i="7" s="1"/>
  <c r="G294" i="7" s="1"/>
  <c r="F288" i="7"/>
  <c r="F292" i="7"/>
  <c r="F287" i="7" s="1"/>
  <c r="F325" i="7" l="1"/>
  <c r="F131" i="7"/>
  <c r="F130" i="7" s="1"/>
  <c r="G309" i="7"/>
  <c r="F299" i="7"/>
  <c r="F298" i="7" s="1"/>
  <c r="F297" i="7" s="1"/>
  <c r="F286" i="7"/>
  <c r="F285" i="7" s="1"/>
  <c r="F265" i="7"/>
  <c r="G267" i="7"/>
  <c r="F88" i="7"/>
  <c r="F87" i="7" s="1"/>
  <c r="F11" i="7"/>
  <c r="F249" i="7"/>
  <c r="G287" i="7" l="1"/>
  <c r="F324" i="7"/>
  <c r="F322" i="7" s="1"/>
  <c r="G299" i="7"/>
  <c r="F284" i="7"/>
  <c r="F248" i="7"/>
  <c r="F247" i="7" s="1"/>
  <c r="F10" i="7"/>
  <c r="F323" i="7" l="1"/>
  <c r="D11" i="5" l="1"/>
  <c r="E12" i="5"/>
  <c r="E13" i="5"/>
  <c r="H273" i="3"/>
  <c r="H266" i="3"/>
  <c r="H262" i="3"/>
  <c r="H252" i="3"/>
  <c r="H236" i="3"/>
  <c r="H240" i="3"/>
  <c r="H196" i="3"/>
  <c r="H213" i="3"/>
  <c r="H228" i="3"/>
  <c r="H118" i="3"/>
  <c r="H92" i="3"/>
  <c r="G277" i="3"/>
  <c r="H277" i="3" s="1"/>
  <c r="G282" i="3"/>
  <c r="G281" i="3" s="1"/>
  <c r="H281" i="3" s="1"/>
  <c r="H285" i="3"/>
  <c r="G292" i="3"/>
  <c r="G291" i="3" s="1"/>
  <c r="H291" i="3" s="1"/>
  <c r="G296" i="3"/>
  <c r="G295" i="3" s="1"/>
  <c r="G257" i="3"/>
  <c r="G256" i="3" s="1"/>
  <c r="G233" i="3"/>
  <c r="G232" i="3" s="1"/>
  <c r="G220" i="3"/>
  <c r="H219" i="3" s="1"/>
  <c r="G208" i="3"/>
  <c r="G205" i="3"/>
  <c r="G198" i="3"/>
  <c r="G189" i="3"/>
  <c r="G188" i="3" s="1"/>
  <c r="H188" i="3" s="1"/>
  <c r="G166" i="3"/>
  <c r="G164" i="3"/>
  <c r="G159" i="3"/>
  <c r="G157" i="3"/>
  <c r="G152" i="3"/>
  <c r="G150" i="3"/>
  <c r="G116" i="3"/>
  <c r="G114" i="3"/>
  <c r="G112" i="3"/>
  <c r="G107" i="3"/>
  <c r="G104" i="3"/>
  <c r="G103" i="3" s="1"/>
  <c r="G96" i="3"/>
  <c r="G94" i="3"/>
  <c r="G89" i="3"/>
  <c r="G87" i="3"/>
  <c r="G85" i="3"/>
  <c r="G39" i="3"/>
  <c r="G38" i="3" s="1"/>
  <c r="G35" i="3"/>
  <c r="G34" i="3" s="1"/>
  <c r="G194" i="3"/>
  <c r="G191" i="3" s="1"/>
  <c r="G43" i="3"/>
  <c r="G42" i="3" s="1"/>
  <c r="G23" i="3"/>
  <c r="G22" i="3" s="1"/>
  <c r="G17" i="3"/>
  <c r="G20" i="3"/>
  <c r="G121" i="3"/>
  <c r="G120" i="3" s="1"/>
  <c r="H120" i="3" s="1"/>
  <c r="H57" i="3"/>
  <c r="G275" i="3"/>
  <c r="G274" i="3" s="1"/>
  <c r="H58" i="3"/>
  <c r="H59" i="3"/>
  <c r="H60" i="3"/>
  <c r="H61" i="3"/>
  <c r="G31" i="3"/>
  <c r="G30" i="3" s="1"/>
  <c r="G27" i="3"/>
  <c r="G26" i="3" s="1"/>
  <c r="G93" i="3" l="1"/>
  <c r="H93" i="3" s="1"/>
  <c r="G16" i="3"/>
  <c r="G12" i="3" s="1"/>
  <c r="G111" i="3"/>
  <c r="G197" i="3"/>
  <c r="G149" i="3"/>
  <c r="G84" i="3"/>
  <c r="G33" i="3"/>
  <c r="G163" i="3"/>
  <c r="H295" i="3"/>
  <c r="G294" i="3"/>
  <c r="G265" i="3"/>
  <c r="H274" i="3"/>
  <c r="G106" i="3"/>
  <c r="H256" i="3"/>
  <c r="G29" i="3"/>
  <c r="F11" i="1"/>
  <c r="F8" i="1"/>
  <c r="F14" i="1" s="1"/>
  <c r="F30" i="1" s="1"/>
  <c r="H106" i="3" l="1"/>
  <c r="H22" i="3"/>
  <c r="H16" i="3"/>
  <c r="H38" i="3"/>
  <c r="F30" i="3"/>
  <c r="F26" i="3"/>
  <c r="H26" i="3" s="1"/>
  <c r="H34" i="3"/>
  <c r="H43" i="3"/>
  <c r="H84" i="3"/>
  <c r="H191" i="3"/>
  <c r="H197" i="3"/>
  <c r="H111" i="3"/>
  <c r="H247" i="3"/>
  <c r="H261" i="3"/>
  <c r="F261" i="3"/>
  <c r="H253" i="3"/>
  <c r="H163" i="3"/>
  <c r="H149" i="3"/>
  <c r="H251" i="3"/>
  <c r="H146" i="3"/>
  <c r="H103" i="3"/>
  <c r="H91" i="3"/>
  <c r="H232" i="3"/>
  <c r="E157" i="7"/>
  <c r="G157" i="7" s="1"/>
  <c r="F181" i="7"/>
  <c r="E181" i="7"/>
  <c r="G199" i="7"/>
  <c r="E174" i="7"/>
  <c r="G174" i="7" s="1"/>
  <c r="E161" i="7"/>
  <c r="G161" i="7" s="1"/>
  <c r="E229" i="7"/>
  <c r="E189" i="7"/>
  <c r="G189" i="7" s="1"/>
  <c r="E221" i="7"/>
  <c r="E132" i="7"/>
  <c r="G132" i="7" s="1"/>
  <c r="E204" i="7"/>
  <c r="E216" i="7"/>
  <c r="E112" i="7"/>
  <c r="G112" i="7" s="1"/>
  <c r="E64" i="7"/>
  <c r="G64" i="7" s="1"/>
  <c r="E58" i="7"/>
  <c r="G58" i="7" s="1"/>
  <c r="G45" i="7"/>
  <c r="G11" i="7"/>
  <c r="E241" i="7"/>
  <c r="G249" i="7"/>
  <c r="E265" i="7"/>
  <c r="E281" i="7"/>
  <c r="G281" i="7" s="1"/>
  <c r="E320" i="7"/>
  <c r="G320" i="7" s="1"/>
  <c r="G325" i="7"/>
  <c r="G265" i="7" l="1"/>
  <c r="E220" i="7"/>
  <c r="G220" i="7" s="1"/>
  <c r="G221" i="7"/>
  <c r="E217" i="7"/>
  <c r="G217" i="7" s="1"/>
  <c r="G218" i="7"/>
  <c r="E224" i="7"/>
  <c r="G224" i="7" s="1"/>
  <c r="G225" i="7"/>
  <c r="E240" i="7"/>
  <c r="G241" i="7"/>
  <c r="G229" i="7"/>
  <c r="E228" i="7"/>
  <c r="G228" i="7" s="1"/>
  <c r="G216" i="7"/>
  <c r="E215" i="7"/>
  <c r="G215" i="7" s="1"/>
  <c r="E203" i="7"/>
  <c r="G203" i="7" s="1"/>
  <c r="G204" i="7"/>
  <c r="G115" i="7"/>
  <c r="G116" i="7"/>
  <c r="E160" i="7"/>
  <c r="H55" i="3"/>
  <c r="H56" i="3"/>
  <c r="F29" i="3"/>
  <c r="H29" i="3" s="1"/>
  <c r="H30" i="3"/>
  <c r="H246" i="3"/>
  <c r="D10" i="5"/>
  <c r="C11" i="5"/>
  <c r="C10" i="5" l="1"/>
  <c r="E10" i="5" s="1"/>
  <c r="E11" i="5"/>
  <c r="F280" i="7"/>
  <c r="F279" i="7" s="1"/>
  <c r="F275" i="7"/>
  <c r="F274" i="7" s="1"/>
  <c r="F261" i="7"/>
  <c r="F260" i="7" s="1"/>
  <c r="F239" i="7"/>
  <c r="F180" i="7"/>
  <c r="F111" i="7"/>
  <c r="F110" i="7" s="1"/>
  <c r="F198" i="7"/>
  <c r="F188" i="7"/>
  <c r="F150" i="7"/>
  <c r="F107" i="7"/>
  <c r="F106" i="7" s="1"/>
  <c r="F63" i="7"/>
  <c r="F62" i="7" s="1"/>
  <c r="F60" i="7"/>
  <c r="F59" i="7" s="1"/>
  <c r="F57" i="7"/>
  <c r="F56" i="7" s="1"/>
  <c r="F51" i="7"/>
  <c r="F50" i="7" s="1"/>
  <c r="F44" i="7"/>
  <c r="F43" i="7" s="1"/>
  <c r="F37" i="7"/>
  <c r="F36" i="7" s="1"/>
  <c r="F9" i="7"/>
  <c r="F319" i="7"/>
  <c r="F318" i="7" s="1"/>
  <c r="F55" i="7" l="1"/>
  <c r="F317" i="7"/>
  <c r="F264" i="7"/>
  <c r="F109" i="7"/>
  <c r="F35" i="7"/>
  <c r="F8" i="7"/>
  <c r="F259" i="7"/>
  <c r="F238" i="7"/>
  <c r="F49" i="7"/>
  <c r="F42" i="7"/>
  <c r="H11" i="1"/>
  <c r="H8" i="1"/>
  <c r="G11" i="1"/>
  <c r="E198" i="7"/>
  <c r="G198" i="7" s="1"/>
  <c r="E188" i="7"/>
  <c r="G188" i="7" s="1"/>
  <c r="E180" i="7"/>
  <c r="G180" i="7" s="1"/>
  <c r="E159" i="7"/>
  <c r="G159" i="7" s="1"/>
  <c r="E150" i="7"/>
  <c r="G150" i="7" s="1"/>
  <c r="E131" i="7"/>
  <c r="E130" i="7" s="1"/>
  <c r="G130" i="7" s="1"/>
  <c r="E111" i="7"/>
  <c r="E110" i="7" s="1"/>
  <c r="G110" i="7" s="1"/>
  <c r="E107" i="7"/>
  <c r="E106" i="7" s="1"/>
  <c r="G106" i="7" s="1"/>
  <c r="E60" i="7"/>
  <c r="E59" i="7" s="1"/>
  <c r="G59" i="7" s="1"/>
  <c r="E57" i="7"/>
  <c r="E56" i="7" s="1"/>
  <c r="E63" i="7"/>
  <c r="E62" i="7" s="1"/>
  <c r="G62" i="7" s="1"/>
  <c r="E80" i="7"/>
  <c r="E79" i="7" s="1"/>
  <c r="G79" i="7" s="1"/>
  <c r="E99" i="7"/>
  <c r="G99" i="7" s="1"/>
  <c r="E89" i="7"/>
  <c r="G89" i="7" s="1"/>
  <c r="E10" i="7"/>
  <c r="E37" i="7"/>
  <c r="E35" i="7" s="1"/>
  <c r="E44" i="7"/>
  <c r="E42" i="7" s="1"/>
  <c r="E51" i="7"/>
  <c r="E49" i="7" s="1"/>
  <c r="E238" i="7"/>
  <c r="E261" i="7"/>
  <c r="E260" i="7" s="1"/>
  <c r="G260" i="7" s="1"/>
  <c r="E280" i="7"/>
  <c r="E279" i="7" s="1"/>
  <c r="G279" i="7" s="1"/>
  <c r="E276" i="7"/>
  <c r="E324" i="7"/>
  <c r="E323" i="7" s="1"/>
  <c r="G323" i="7" s="1"/>
  <c r="G56" i="7" l="1"/>
  <c r="E275" i="7"/>
  <c r="E274" i="7" s="1"/>
  <c r="E264" i="7" s="1"/>
  <c r="G276" i="7"/>
  <c r="E214" i="7"/>
  <c r="E233" i="7"/>
  <c r="G233" i="7" s="1"/>
  <c r="G234" i="7"/>
  <c r="E109" i="7"/>
  <c r="F7" i="7"/>
  <c r="H14" i="1"/>
  <c r="H30" i="1" s="1"/>
  <c r="F246" i="7"/>
  <c r="F237" i="7" s="1"/>
  <c r="E50" i="7"/>
  <c r="G50" i="7" s="1"/>
  <c r="E88" i="7"/>
  <c r="E87" i="7" s="1"/>
  <c r="E55" i="7" s="1"/>
  <c r="E259" i="7"/>
  <c r="E246" i="7"/>
  <c r="E247" i="7"/>
  <c r="G247" i="7" s="1"/>
  <c r="E8" i="7"/>
  <c r="E9" i="7"/>
  <c r="G9" i="7" s="1"/>
  <c r="E322" i="7"/>
  <c r="E239" i="7"/>
  <c r="G239" i="7" s="1"/>
  <c r="E36" i="7"/>
  <c r="G36" i="7" s="1"/>
  <c r="E43" i="7"/>
  <c r="G43" i="7" s="1"/>
  <c r="E308" i="7"/>
  <c r="E307" i="7" s="1"/>
  <c r="G307" i="7" s="1"/>
  <c r="E298" i="7"/>
  <c r="E297" i="7" s="1"/>
  <c r="G297" i="7" s="1"/>
  <c r="G274" i="7" l="1"/>
  <c r="G87" i="7"/>
  <c r="F4" i="7"/>
  <c r="J7" i="7" s="1"/>
  <c r="F33" i="3"/>
  <c r="H33" i="3" s="1"/>
  <c r="H12" i="3"/>
  <c r="G47" i="3"/>
  <c r="G25" i="3"/>
  <c r="F42" i="3"/>
  <c r="H42" i="3" s="1"/>
  <c r="F25" i="3"/>
  <c r="H25" i="3" l="1"/>
  <c r="G11" i="3"/>
  <c r="F11" i="3"/>
  <c r="G9" i="1" s="1"/>
  <c r="G8" i="1" s="1"/>
  <c r="G14" i="1" s="1"/>
  <c r="G30" i="1" s="1"/>
  <c r="E286" i="7"/>
  <c r="E285" i="7" s="1"/>
  <c r="E284" i="7" l="1"/>
  <c r="G285" i="7"/>
  <c r="H265" i="3"/>
  <c r="H119" i="3"/>
  <c r="E321" i="7"/>
  <c r="H83" i="3"/>
  <c r="F294" i="3"/>
  <c r="H294" i="3" s="1"/>
  <c r="H231" i="3"/>
  <c r="E319" i="7" l="1"/>
  <c r="E318" i="7" s="1"/>
  <c r="G321" i="7"/>
  <c r="G264" i="3"/>
  <c r="E317" i="7" l="1"/>
  <c r="E237" i="7" s="1"/>
  <c r="E4" i="7" s="1"/>
  <c r="G318" i="7"/>
  <c r="H79" i="3"/>
</calcChain>
</file>

<file path=xl/sharedStrings.xml><?xml version="1.0" encoding="utf-8"?>
<sst xmlns="http://schemas.openxmlformats.org/spreadsheetml/2006/main" count="832" uniqueCount="244">
  <si>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</si>
  <si>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</si>
  <si>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</si>
  <si>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</si>
  <si>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</si>
  <si>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</si>
  <si>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</si>
  <si>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</si>
  <si>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</si>
  <si>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</si>
  <si>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</si>
  <si>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</si>
  <si>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</si>
  <si>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</si>
  <si>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</si>
  <si>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</si>
  <si>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</si>
  <si>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</si>
  <si>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</si>
  <si>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</si>
  <si>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</si>
  <si>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</si>
  <si>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</si>
  <si>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</si>
  <si>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</si>
  <si>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</si>
  <si>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</si>
  <si>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</si>
  <si>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</si>
  <si>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</si>
  <si>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</si>
  <si>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</si>
  <si>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</si>
  <si>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</si>
  <si>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</si>
  <si>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</si>
  <si>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</si>
  <si>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</si>
  <si>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</si>
  <si>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</si>
  <si>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Prihodi od imovine</t>
  </si>
  <si>
    <t>Prihodi od upravnih i administrativnih pristojbi, pristojbi po posebnim propisima i naknada</t>
  </si>
  <si>
    <t>Kazne, upravne mjere i ostali prihodi</t>
  </si>
  <si>
    <t>Financijski rashodi</t>
  </si>
  <si>
    <t>Naknade građanima i kućanstvima na temelju osiguranja i druge naknade</t>
  </si>
  <si>
    <t>Rashodi za dodatna ulaganja na nefinancijskoj imovini</t>
  </si>
  <si>
    <t xml:space="preserve">Prihodi od prodaje proizvoda i robe te pruženih usluga, prihodi od donacija </t>
  </si>
  <si>
    <t>09 Obrazovanje</t>
  </si>
  <si>
    <t>0912 Osnovno obrazovanje</t>
  </si>
  <si>
    <t>096 Dodatne usluge u obrazovanju</t>
  </si>
  <si>
    <t>Prihodi za posebne namjene</t>
  </si>
  <si>
    <t>Pomoći</t>
  </si>
  <si>
    <t>Vlastiti prihodi</t>
  </si>
  <si>
    <t>Donacije</t>
  </si>
  <si>
    <t>EUR</t>
  </si>
  <si>
    <t>HZZ PRIPRAVNIK</t>
  </si>
  <si>
    <t>EU</t>
  </si>
  <si>
    <t>Aktivnost 1012-01</t>
  </si>
  <si>
    <t xml:space="preserve"> Materijalni rashodi škola</t>
  </si>
  <si>
    <t xml:space="preserve">Aktivnost 1012-02 </t>
  </si>
  <si>
    <t>Financijski rashodi škola</t>
  </si>
  <si>
    <t xml:space="preserve">Kapitalni projekt 1012-03 </t>
  </si>
  <si>
    <t>Opremanje škola</t>
  </si>
  <si>
    <t>Kapitalni projekt 1012-04</t>
  </si>
  <si>
    <t>Rashodi za dodatna ulaganja na školama</t>
  </si>
  <si>
    <t>Aktivnost 1012-09</t>
  </si>
  <si>
    <t>Vlastiti i namjenski prihodi škola - rashodi za zaposlene</t>
  </si>
  <si>
    <t>Aktivnost 1012-10</t>
  </si>
  <si>
    <t>Vlastiti i namjenski prihodi škola - materijalni rashodi</t>
  </si>
  <si>
    <t>Aktivnost 1012-11</t>
  </si>
  <si>
    <t>Vlastiti i namjenski prihodi škola - financijski rashodi</t>
  </si>
  <si>
    <t>Aktivnost 1012-12</t>
  </si>
  <si>
    <t>Vlastiti i namjenski prihodi škola - opremanje škola</t>
  </si>
  <si>
    <t>PROGRAM 1013</t>
  </si>
  <si>
    <t>Izvanstandardni progami u školama</t>
  </si>
  <si>
    <t>Aktivnost 1013-04</t>
  </si>
  <si>
    <t>Aktivnost 1013-06</t>
  </si>
  <si>
    <t>Produženi boravak</t>
  </si>
  <si>
    <t>Aktivnost 1013-07</t>
  </si>
  <si>
    <t>Aktivnost 1013-13</t>
  </si>
  <si>
    <t>Aktivnost 1013-14</t>
  </si>
  <si>
    <t>Aktivnost 1013-16</t>
  </si>
  <si>
    <t>Potpora stručnim službama osnovnih škola - logoped</t>
  </si>
  <si>
    <t>Aktivnost 1013-18</t>
  </si>
  <si>
    <t>Centar DaR</t>
  </si>
  <si>
    <t>Izvor financiranja 57</t>
  </si>
  <si>
    <t>Izvor financiranja 11</t>
  </si>
  <si>
    <t>Izvor financiranja 31</t>
  </si>
  <si>
    <t xml:space="preserve">Vlastiti prihodi </t>
  </si>
  <si>
    <t>Izvor financiranja 41</t>
  </si>
  <si>
    <t>Izvor financiranja 6103</t>
  </si>
  <si>
    <t>Vlastiti izvori</t>
  </si>
  <si>
    <t>Višak prihoda poslovanja</t>
  </si>
  <si>
    <t>Vlastiti prihodi - višak</t>
  </si>
  <si>
    <t>VIŠAK KORIŠTEN ZA POKRIĆE RASHODA</t>
  </si>
  <si>
    <t>Prihodi za posebne namjene - višak</t>
  </si>
  <si>
    <t>Pomoći - višak</t>
  </si>
  <si>
    <t>HZZ PRIPRAVNIK - višak</t>
  </si>
  <si>
    <t>Donacije - višak</t>
  </si>
  <si>
    <t>Pomoći MZO rashodi za zaposlene</t>
  </si>
  <si>
    <t>Izvor financiranja 92530</t>
  </si>
  <si>
    <t>Pomoćnici u nastavi - Škola puna mogućnosti 6</t>
  </si>
  <si>
    <t>Izvor financiranja 5402</t>
  </si>
  <si>
    <t>Financiranje nabave drugih obrazovnih materijala - radne bilježnice</t>
  </si>
  <si>
    <t>Materijalni rashodi - prijevoz</t>
  </si>
  <si>
    <t>31-COP</t>
  </si>
  <si>
    <t>31-MENTORSTVA</t>
  </si>
  <si>
    <t>32-PRIJEVOZ DJELATNIKA COP</t>
  </si>
  <si>
    <t>32-NAKNADA INVALIDI</t>
  </si>
  <si>
    <t>32-ISLAMSKI VJERONAUK</t>
  </si>
  <si>
    <t>Prihodi za posebne namjene - školska kuhinja</t>
  </si>
  <si>
    <t>Izvor financiranja 9231</t>
  </si>
  <si>
    <t>Izvor financiranja 9241</t>
  </si>
  <si>
    <t>Izvor financiranja 9257</t>
  </si>
  <si>
    <t>Rashodi za zaposlene (dar u naravi, pripravnica razlika za osnovicu)</t>
  </si>
  <si>
    <t>Rashodi za zaposlene voditelje ŠSD</t>
  </si>
  <si>
    <t>Izvor financiranja 926103</t>
  </si>
  <si>
    <t>Materijalni rashodi (najam dvorane, uz maraška, ost prih)</t>
  </si>
  <si>
    <t>Naknade građanima i kućanstvima na temelju osiguranja i druge naknade (radne bilježnice)</t>
  </si>
  <si>
    <t xml:space="preserve">Prihodi za posebne namjene </t>
  </si>
  <si>
    <t>EUR*</t>
  </si>
  <si>
    <t xml:space="preserve">PROGRAM 1012 </t>
  </si>
  <si>
    <t>Osnovnoškolsko obrazovanje</t>
  </si>
  <si>
    <t>PROJEKTI</t>
  </si>
  <si>
    <t>Ostale tekuće donacije u naravi</t>
  </si>
  <si>
    <t>Izvor financiranja 925401</t>
  </si>
  <si>
    <t>Projekti</t>
  </si>
  <si>
    <t>Projekti - višak</t>
  </si>
  <si>
    <t>Izvršenje prethodne godine</t>
  </si>
  <si>
    <t>Plan tekuće godine</t>
  </si>
  <si>
    <t>Izvršenje tekuće godine</t>
  </si>
  <si>
    <t>Indeks</t>
  </si>
  <si>
    <t>5=4/3*100</t>
  </si>
  <si>
    <t>Naziv</t>
  </si>
  <si>
    <t xml:space="preserve">Izvršenje tekuće godine </t>
  </si>
  <si>
    <t>4=3/2*100</t>
  </si>
  <si>
    <t>POM PROR KORISNICIMA IZ PRORAČUNA KOJI IM NIJE NADLEŽAN</t>
  </si>
  <si>
    <t>TEK POM PROR KORISNICIMA IZ PRORAČUNA KOJI IM NIJE NADLEŽAN</t>
  </si>
  <si>
    <t>KAPITALNE POM PROR KORISNICIMA IZ PRORAČUNA KOJI IM NIJE NADLEŽAN</t>
  </si>
  <si>
    <t>PRIJENOSI IZMEĐU PROR KORISNIKA ISTOG PRORAČUNA</t>
  </si>
  <si>
    <t>TEKUĆI PRIJENOSI IZMEĐU PROR KORISNIKA ISTOG PRORAČUNA</t>
  </si>
  <si>
    <t>Skupina/podskupina/odjeljak</t>
  </si>
  <si>
    <t>TEKUĆI PRIJENOSI IZMEĐU PROR KORISNIKA ISTOG PRORAČUNA TEMELJEM PRIJENOSA EU SREDSTAVA</t>
  </si>
  <si>
    <t>PRIHODI OD FINANCIJSKE IMOVINE</t>
  </si>
  <si>
    <t>KAMATE NA OROČENA SREDSTVA I DEPOZITE PO VIĐENJU</t>
  </si>
  <si>
    <t>PRIHODI PO POSEBNIM PROPISIMA</t>
  </si>
  <si>
    <t>OSTALI NESPOMENUTI PRIHODI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</si>
  <si>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</si>
  <si>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</si>
  <si>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</si>
  <si>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</si>
  <si>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</si>
  <si>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</si>
  <si>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</si>
  <si>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</si>
  <si>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</si>
  <si>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</si>
  <si>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</si>
  <si>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</si>
  <si>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</si>
  <si>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</si>
  <si>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</si>
  <si>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</si>
  <si>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</si>
  <si>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</si>
  <si>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</si>
  <si>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TROŠKOVI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</si>
  <si>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</si>
  <si>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</si>
  <si>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</si>
  <si>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</si>
  <si>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</si>
  <si>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</si>
  <si>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</si>
  <si>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</si>
  <si>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</si>
  <si>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</si>
  <si>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</si>
  <si>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</si>
  <si>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</si>
  <si>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</si>
  <si>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</si>
  <si>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NAKNADE TROŠKOVA OSOBAMA IZVAN RADNOG ODNOSA</t>
  </si>
  <si>
    <t>SLUŽBENA, RADNA I ZAŠTITNA ODJEĆA I OBUĆA</t>
  </si>
  <si>
    <t>ZDRAVSTVENE I VETERINARSKE USLUGE</t>
  </si>
  <si>
    <t>NAKNADE ZA RAD PREDSTAVNIČKIH I IZVRŠNIH TIJELA, POVJERENSTAVA I SLIČNO</t>
  </si>
  <si>
    <t>PRISTOJBE I NAKNADE</t>
  </si>
  <si>
    <t>OSTALI FINANCIJSKI RASHODI</t>
  </si>
  <si>
    <t>BANKARSKE USLUGE I USLUGE PLATNOG PROMETA</t>
  </si>
  <si>
    <t>ZATEZNE KAMATE</t>
  </si>
  <si>
    <t>OSTALE NAKNADE GRAĐANIMA I KUĆANSTVIMA IZ PRORAČUNA</t>
  </si>
  <si>
    <t>NAKNADE GRAĐANIMA I KUĆANSTVIMA U NOVCU</t>
  </si>
  <si>
    <t>NAKNADE GRAĐANIMA I KUĆANSTVIMA U NARAVI</t>
  </si>
  <si>
    <t>POSTROJENJA I OPREMA</t>
  </si>
  <si>
    <t>UREDSKA OPREMA I NAMJEŠTAJ</t>
  </si>
  <si>
    <t>UREĐAJI, STROJEVI I OPREMA ZA OSTALE NAMJENE</t>
  </si>
  <si>
    <t>OPREMA ZA ODRŽAVANJE I ZAŠTITU</t>
  </si>
  <si>
    <t>KNJIGE, UMJETNIČKA DJELA I OSTALE IZLOŽBENE VRIJEDNOSTI</t>
  </si>
  <si>
    <t>KNJIGE</t>
  </si>
  <si>
    <t>DODATNA ULAGANJA NA GRAĐEVINSKIM OBJEKTIMA</t>
  </si>
  <si>
    <t>GODIŠNJI IZVJEŠTAJ O IZVRŠENJU FINANCIJSKOG PLANA ZA 2023.g.</t>
  </si>
  <si>
    <t>Izvor financiranja 53</t>
  </si>
  <si>
    <t>TEKUĆE DONACIJE U NARAVI</t>
  </si>
  <si>
    <t>MATERIJAL I DIJELOVI ZA TEK I INV ODRŽAVANJE</t>
  </si>
  <si>
    <t>SLUŽBENA RADNA I ZAŠTITNA ODJEĆA I OBUĆA</t>
  </si>
  <si>
    <t>Izvanškolske aktivnosti STEAM, UZ Maraška, Novigradsko proljeće, Zdrav doručak</t>
  </si>
  <si>
    <t xml:space="preserve">Rashodi za zaposlene </t>
  </si>
  <si>
    <t>MANJAK POKRIVEN TEKUĆIM PRIHODIMA</t>
  </si>
  <si>
    <t>Manjak prihoda poslovanja</t>
  </si>
  <si>
    <t>Pomoći Projekt prehrane</t>
  </si>
  <si>
    <t>EU Projekt prehrane</t>
  </si>
  <si>
    <t>Pomoći Shema</t>
  </si>
  <si>
    <t>EU Shema</t>
  </si>
  <si>
    <t>KNJIGE MZO lektira</t>
  </si>
  <si>
    <t>KNJIGE MZO udžbenici</t>
  </si>
  <si>
    <t>HZZ</t>
  </si>
  <si>
    <t>MAT I DIJELOVI ZA TEK I INV ODRŽAVANJE</t>
  </si>
  <si>
    <t>USL TEK I INV ODRŽAVANJA</t>
  </si>
  <si>
    <t>POMOĆI OD IZVANPRORAČUNSKIH KORISNIKA</t>
  </si>
  <si>
    <t>TEKUĆE POMOĆI OD IZVANPRORAČUNSKIH KORISNIKA</t>
  </si>
  <si>
    <t>PRIHODI IZ NADLEŽNOG PRORAČUNA ZA FINANCIRANJE RASHODA ZA NABAVU NEFINANCIJSKE IMOVINE</t>
  </si>
  <si>
    <t>PRIHODI POSLOVANJA PREMA EKONOMSKOJ KLASIFIKACIJI</t>
  </si>
  <si>
    <t>Naziv prihoda</t>
  </si>
  <si>
    <t>RASHODI POSLOVANJA PREMA EKONOMSKOJ KLASIFIKACIJI</t>
  </si>
  <si>
    <t>Naziv rashoda</t>
  </si>
  <si>
    <t>A. RAČUN PRIHODA I RASHODA</t>
  </si>
  <si>
    <t>PRIHODI POSLOVANJA  PREMA IZVORIMA FINANCIRANJA</t>
  </si>
  <si>
    <t>Brojčana oznaka i naziv</t>
  </si>
  <si>
    <t>11 Opći prihodi i primici</t>
  </si>
  <si>
    <t>31 Vlastiti prihodi</t>
  </si>
  <si>
    <t>41 Prihodi za posebne namjene</t>
  </si>
  <si>
    <t>5402 EU</t>
  </si>
  <si>
    <t>57 Pomoći</t>
  </si>
  <si>
    <t>6103 Donacije</t>
  </si>
  <si>
    <t>RASHODI POSLOVANJA  PREMA IZVORIMA FINANCIRANJA</t>
  </si>
  <si>
    <t>9231 Vlastiti prihodi - višak</t>
  </si>
  <si>
    <t>9241 Prihodi za posebne namjene - višak</t>
  </si>
  <si>
    <t>92530 HZZ PRIPRAVNIK - višak</t>
  </si>
  <si>
    <t>925401 Projekti - višak</t>
  </si>
  <si>
    <t>926103 Donacije - višak</t>
  </si>
  <si>
    <t>53 HZZ</t>
  </si>
  <si>
    <t>9257 Pomoći - višak</t>
  </si>
  <si>
    <t>RASHODI UKUPNO (3+4)</t>
  </si>
  <si>
    <t>Prehrana učenika u osnovnim školama: Šk. Shema, Opremanje kuhinje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</si>
</sst>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theme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10"/>
      <color theme="4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2"/>
      <color theme="4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9">
    <xf numFmtId="0" fontId="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9" fillId="0" borderId="0"/>
  </cellStyleXfs>
  <cellXfs count="273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/>
    </xf>
    <xf numFmtId="0" fontId="11" fillId="7" borderId="3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 applyProtection="1">
      <alignment horizontal="right" wrapText="1"/>
    </xf>
    <xf numFmtId="4" fontId="3" fillId="5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 shrinkToFit="1"/>
    </xf>
    <xf numFmtId="4" fontId="3" fillId="0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3" fillId="8" borderId="3" xfId="0" applyNumberFormat="1" applyFont="1" applyFill="1" applyBorder="1" applyAlignment="1">
      <alignment horizontal="right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4" fontId="5" fillId="6" borderId="3" xfId="0" applyNumberFormat="1" applyFont="1" applyFill="1" applyBorder="1" applyAlignment="1">
      <alignment horizontal="right"/>
    </xf>
    <xf numFmtId="4" fontId="5" fillId="9" borderId="3" xfId="0" applyNumberFormat="1" applyFont="1" applyFill="1" applyBorder="1" applyAlignment="1">
      <alignment horizontal="right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21" fillId="2" borderId="3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 applyProtection="1">
      <alignment horizontal="right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164" fontId="19" fillId="2" borderId="3" xfId="0" applyNumberFormat="1" applyFont="1" applyFill="1" applyBorder="1" applyAlignment="1">
      <alignment horizontal="right"/>
    </xf>
    <xf numFmtId="164" fontId="2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4" fontId="27" fillId="0" borderId="3" xfId="0" applyNumberFormat="1" applyFont="1" applyFill="1" applyBorder="1" applyAlignment="1" applyProtection="1">
      <alignment horizontal="right"/>
      <protection locked="0"/>
    </xf>
    <xf numFmtId="4" fontId="5" fillId="6" borderId="3" xfId="0" applyNumberFormat="1" applyFont="1" applyFill="1" applyBorder="1" applyAlignment="1" applyProtection="1">
      <alignment horizontal="right"/>
      <protection locked="0"/>
    </xf>
    <xf numFmtId="4" fontId="27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1" fillId="2" borderId="0" xfId="2" applyFont="1" applyFill="1" applyAlignment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NumberFormat="1" applyFont="1" applyFill="1" applyBorder="1" applyAlignment="1" applyProtection="1">
      <alignment horizontal="center" vertical="center" wrapText="1"/>
    </xf>
    <xf numFmtId="0" fontId="32" fillId="4" borderId="3" xfId="0" applyNumberFormat="1" applyFont="1" applyFill="1" applyBorder="1" applyAlignment="1" applyProtection="1">
      <alignment horizontal="center" vertical="center" wrapText="1"/>
    </xf>
    <xf numFmtId="3" fontId="33" fillId="1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4" fillId="4" borderId="3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36" fillId="2" borderId="3" xfId="0" quotePrefix="1" applyFont="1" applyFill="1" applyBorder="1" applyAlignment="1">
      <alignment horizontal="left" vertical="center"/>
    </xf>
    <xf numFmtId="4" fontId="36" fillId="2" borderId="3" xfId="0" applyNumberFormat="1" applyFont="1" applyFill="1" applyBorder="1" applyAlignment="1">
      <alignment horizontal="right"/>
    </xf>
    <xf numFmtId="0" fontId="37" fillId="0" borderId="0" xfId="0" applyFont="1"/>
    <xf numFmtId="0" fontId="38" fillId="2" borderId="3" xfId="0" quotePrefix="1" applyFont="1" applyFill="1" applyBorder="1" applyAlignment="1">
      <alignment horizontal="left" vertical="center"/>
    </xf>
    <xf numFmtId="4" fontId="38" fillId="2" borderId="3" xfId="0" applyNumberFormat="1" applyFont="1" applyFill="1" applyBorder="1" applyAlignment="1">
      <alignment horizontal="right"/>
    </xf>
    <xf numFmtId="0" fontId="29" fillId="0" borderId="0" xfId="0" applyFont="1"/>
    <xf numFmtId="4" fontId="6" fillId="2" borderId="3" xfId="0" applyNumberFormat="1" applyFont="1" applyFill="1" applyBorder="1" applyAlignment="1">
      <alignment horizontal="right"/>
    </xf>
    <xf numFmtId="0" fontId="36" fillId="2" borderId="3" xfId="0" quotePrefix="1" applyFont="1" applyFill="1" applyBorder="1" applyAlignment="1">
      <alignment horizontal="left" vertical="center" shrinkToFit="1"/>
    </xf>
    <xf numFmtId="0" fontId="38" fillId="0" borderId="3" xfId="0" quotePrefix="1" applyFont="1" applyFill="1" applyBorder="1" applyAlignment="1">
      <alignment horizontal="left" vertical="center"/>
    </xf>
    <xf numFmtId="4" fontId="38" fillId="0" borderId="3" xfId="0" applyNumberFormat="1" applyFont="1" applyFill="1" applyBorder="1" applyAlignment="1">
      <alignment horizontal="right"/>
    </xf>
    <xf numFmtId="0" fontId="39" fillId="2" borderId="3" xfId="0" quotePrefix="1" applyFont="1" applyFill="1" applyBorder="1" applyAlignment="1">
      <alignment horizontal="left" vertical="center"/>
    </xf>
    <xf numFmtId="0" fontId="38" fillId="2" borderId="3" xfId="0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wrapText="1"/>
    </xf>
    <xf numFmtId="0" fontId="40" fillId="2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shrinkToFit="1"/>
    </xf>
    <xf numFmtId="4" fontId="26" fillId="2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3" fillId="8" borderId="3" xfId="0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4" fontId="3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8" fillId="2" borderId="3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3" fontId="3" fillId="7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" fontId="6" fillId="7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8" fillId="0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4" fontId="41" fillId="0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41" fillId="2" borderId="3" xfId="0" applyNumberFormat="1" applyFont="1" applyFill="1" applyBorder="1" applyAlignment="1">
      <alignment horizontal="right"/>
    </xf>
    <xf numFmtId="0" fontId="42" fillId="0" borderId="0" xfId="0" applyFont="1"/>
    <xf numFmtId="4" fontId="43" fillId="2" borderId="3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35" fillId="0" borderId="0" xfId="0" applyNumberFormat="1" applyFont="1"/>
    <xf numFmtId="4" fontId="23" fillId="0" borderId="0" xfId="0" applyNumberFormat="1" applyFont="1"/>
    <xf numFmtId="4" fontId="24" fillId="0" borderId="0" xfId="0" applyNumberFormat="1" applyFont="1"/>
    <xf numFmtId="4" fontId="25" fillId="0" borderId="0" xfId="0" applyNumberFormat="1" applyFont="1"/>
    <xf numFmtId="4" fontId="42" fillId="0" borderId="0" xfId="0" applyNumberFormat="1" applyFont="1"/>
    <xf numFmtId="4" fontId="44" fillId="2" borderId="3" xfId="0" applyNumberFormat="1" applyFont="1" applyFill="1" applyBorder="1" applyAlignment="1">
      <alignment horizontal="right"/>
    </xf>
    <xf numFmtId="4" fontId="45" fillId="0" borderId="0" xfId="0" applyNumberFormat="1" applyFont="1"/>
    <xf numFmtId="0" fontId="3" fillId="4" borderId="4" xfId="0" applyNumberFormat="1" applyFont="1" applyFill="1" applyBorder="1" applyAlignment="1" applyProtection="1">
      <alignment horizontal="center" vertical="center" wrapText="1"/>
    </xf>
    <xf numFmtId="4" fontId="46" fillId="2" borderId="3" xfId="0" applyNumberFormat="1" applyFont="1" applyFill="1" applyBorder="1" applyAlignment="1">
      <alignment horizontal="right"/>
    </xf>
    <xf numFmtId="0" fontId="3" fillId="7" borderId="4" xfId="0" applyNumberFormat="1" applyFont="1" applyFill="1" applyBorder="1" applyAlignment="1" applyProtection="1">
      <alignment horizontal="left" vertical="center" wrapText="1"/>
    </xf>
    <xf numFmtId="4" fontId="12" fillId="7" borderId="3" xfId="0" applyNumberFormat="1" applyFont="1" applyFill="1" applyBorder="1" applyAlignment="1">
      <alignment horizontal="right"/>
    </xf>
    <xf numFmtId="4" fontId="21" fillId="7" borderId="3" xfId="0" applyNumberFormat="1" applyFont="1" applyFill="1" applyBorder="1" applyAlignment="1">
      <alignment horizontal="right"/>
    </xf>
    <xf numFmtId="0" fontId="9" fillId="7" borderId="3" xfId="0" applyNumberFormat="1" applyFont="1" applyFill="1" applyBorder="1" applyAlignment="1" applyProtection="1">
      <alignment vertical="center" wrapText="1"/>
    </xf>
    <xf numFmtId="0" fontId="9" fillId="7" borderId="3" xfId="0" quotePrefix="1" applyFont="1" applyFill="1" applyBorder="1" applyAlignment="1">
      <alignment horizontal="left" vertical="center" wrapText="1"/>
    </xf>
    <xf numFmtId="0" fontId="9" fillId="7" borderId="4" xfId="0" quotePrefix="1" applyFont="1" applyFill="1" applyBorder="1" applyAlignment="1">
      <alignment horizontal="left" vertical="center" wrapText="1"/>
    </xf>
    <xf numFmtId="4" fontId="5" fillId="7" borderId="3" xfId="0" applyNumberFormat="1" applyFont="1" applyFill="1" applyBorder="1" applyAlignment="1">
      <alignment horizontal="right"/>
    </xf>
    <xf numFmtId="4" fontId="21" fillId="0" borderId="3" xfId="0" applyNumberFormat="1" applyFont="1" applyFill="1" applyBorder="1" applyAlignment="1">
      <alignment horizontal="right"/>
    </xf>
    <xf numFmtId="0" fontId="38" fillId="2" borderId="0" xfId="0" quotePrefix="1" applyFont="1" applyFill="1" applyBorder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4" fontId="38" fillId="2" borderId="0" xfId="0" applyNumberFormat="1" applyFont="1" applyFill="1" applyBorder="1" applyAlignment="1">
      <alignment horizontal="right"/>
    </xf>
    <xf numFmtId="4" fontId="38" fillId="2" borderId="0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8" fillId="0" borderId="3" xfId="0" applyNumberFormat="1" applyFont="1" applyFill="1" applyBorder="1" applyAlignment="1" applyProtection="1">
      <alignment horizontal="left" vertical="center" wrapText="1"/>
    </xf>
    <xf numFmtId="4" fontId="36" fillId="0" borderId="3" xfId="0" applyNumberFormat="1" applyFont="1" applyFill="1" applyBorder="1" applyAlignment="1">
      <alignment horizontal="right"/>
    </xf>
    <xf numFmtId="0" fontId="48" fillId="2" borderId="3" xfId="0" quotePrefix="1" applyFont="1" applyFill="1" applyBorder="1" applyAlignment="1">
      <alignment horizontal="left" vertical="center"/>
    </xf>
    <xf numFmtId="0" fontId="48" fillId="2" borderId="3" xfId="0" quotePrefix="1" applyFont="1" applyFill="1" applyBorder="1" applyAlignment="1">
      <alignment horizontal="left" vertical="center" shrinkToFit="1"/>
    </xf>
    <xf numFmtId="0" fontId="43" fillId="2" borderId="3" xfId="0" quotePrefix="1" applyFont="1" applyFill="1" applyBorder="1" applyAlignment="1">
      <alignment horizontal="left" vertical="center"/>
    </xf>
    <xf numFmtId="4" fontId="43" fillId="0" borderId="3" xfId="0" applyNumberFormat="1" applyFont="1" applyFill="1" applyBorder="1" applyAlignment="1">
      <alignment horizontal="right"/>
    </xf>
    <xf numFmtId="4" fontId="32" fillId="0" borderId="3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0" fontId="49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0" fillId="0" borderId="3" xfId="0" applyNumberFormat="1" applyFont="1" applyFill="1" applyBorder="1" applyAlignment="1" applyProtection="1">
      <alignment horizontal="left" vertical="center" wrapText="1"/>
    </xf>
    <xf numFmtId="4" fontId="19" fillId="0" borderId="3" xfId="0" applyNumberFormat="1" applyFont="1" applyFill="1" applyBorder="1" applyAlignment="1">
      <alignment horizontal="right"/>
    </xf>
    <xf numFmtId="0" fontId="47" fillId="0" borderId="0" xfId="0" applyFont="1"/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4" fontId="6" fillId="8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3" xfId="0" applyBorder="1"/>
    <xf numFmtId="0" fontId="1" fillId="0" borderId="0" xfId="0" applyFont="1" applyFill="1"/>
    <xf numFmtId="0" fontId="49" fillId="2" borderId="3" xfId="0" quotePrefix="1" applyFont="1" applyFill="1" applyBorder="1" applyAlignment="1">
      <alignment horizontal="left" vertical="center"/>
    </xf>
    <xf numFmtId="0" fontId="49" fillId="2" borderId="3" xfId="0" quotePrefix="1" applyFont="1" applyFill="1" applyBorder="1" applyAlignment="1">
      <alignment horizontal="left" vertical="center" shrinkToFit="1"/>
    </xf>
    <xf numFmtId="0" fontId="31" fillId="2" borderId="0" xfId="2" applyFont="1" applyFill="1" applyAlignment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2" borderId="1" xfId="0" quotePrefix="1" applyFont="1" applyFill="1" applyBorder="1" applyAlignment="1">
      <alignment horizontal="left" vertical="center"/>
    </xf>
    <xf numFmtId="0" fontId="10" fillId="2" borderId="2" xfId="0" quotePrefix="1" applyFont="1" applyFill="1" applyBorder="1" applyAlignment="1">
      <alignment horizontal="left" vertical="center"/>
    </xf>
    <xf numFmtId="0" fontId="10" fillId="2" borderId="4" xfId="0" quotePrefix="1" applyFont="1" applyFill="1" applyBorder="1" applyAlignment="1">
      <alignment horizontal="left" vertical="center"/>
    </xf>
    <xf numFmtId="0" fontId="10" fillId="2" borderId="1" xfId="0" quotePrefix="1" applyFont="1" applyFill="1" applyBorder="1" applyAlignment="1">
      <alignment horizontal="left" vertical="center" shrinkToFit="1"/>
    </xf>
    <xf numFmtId="0" fontId="10" fillId="2" borderId="2" xfId="0" quotePrefix="1" applyFont="1" applyFill="1" applyBorder="1" applyAlignment="1">
      <alignment horizontal="left" vertical="center" shrinkToFit="1"/>
    </xf>
    <xf numFmtId="0" fontId="10" fillId="2" borderId="4" xfId="0" quotePrefix="1" applyFont="1" applyFill="1" applyBorder="1" applyAlignment="1">
      <alignment horizontal="left" vertical="center" shrinkToFi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1" fillId="7" borderId="1" xfId="0" applyNumberFormat="1" applyFont="1" applyFill="1" applyBorder="1" applyAlignment="1" applyProtection="1">
      <alignment horizontal="center" vertical="center" wrapText="1"/>
    </xf>
    <xf numFmtId="0" fontId="11" fillId="7" borderId="2" xfId="0" applyNumberFormat="1" applyFont="1" applyFill="1" applyBorder="1" applyAlignment="1" applyProtection="1">
      <alignment horizontal="center" vertical="center" wrapText="1"/>
    </xf>
    <xf numFmtId="0" fontId="11" fillId="7" borderId="4" xfId="0" applyNumberFormat="1" applyFont="1" applyFill="1" applyBorder="1" applyAlignment="1" applyProtection="1">
      <alignment horizontal="center" vertical="center" wrapText="1"/>
    </xf>
    <xf numFmtId="0" fontId="11" fillId="8" borderId="1" xfId="0" applyNumberFormat="1" applyFont="1" applyFill="1" applyBorder="1" applyAlignment="1" applyProtection="1">
      <alignment horizontal="center" vertical="center" wrapText="1"/>
    </xf>
    <xf numFmtId="0" fontId="11" fillId="8" borderId="2" xfId="0" applyNumberFormat="1" applyFont="1" applyFill="1" applyBorder="1" applyAlignment="1" applyProtection="1">
      <alignment horizontal="center" vertical="center" wrapText="1"/>
    </xf>
    <xf numFmtId="0" fontId="11" fillId="8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7" borderId="1" xfId="0" applyNumberFormat="1" applyFont="1" applyFill="1" applyBorder="1" applyAlignment="1" applyProtection="1">
      <alignment horizontal="left" vertical="center" wrapText="1" indent="1"/>
    </xf>
    <xf numFmtId="0" fontId="3" fillId="7" borderId="2" xfId="0" applyNumberFormat="1" applyFont="1" applyFill="1" applyBorder="1" applyAlignment="1" applyProtection="1">
      <alignment horizontal="left" vertical="center" wrapText="1" indent="1"/>
    </xf>
    <xf numFmtId="0" fontId="3" fillId="7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 indent="1"/>
    </xf>
    <xf numFmtId="0" fontId="6" fillId="7" borderId="2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 indent="1"/>
    </xf>
    <xf numFmtId="0" fontId="34" fillId="4" borderId="1" xfId="0" applyNumberFormat="1" applyFont="1" applyFill="1" applyBorder="1" applyAlignment="1" applyProtection="1">
      <alignment horizontal="center" vertical="center" wrapText="1"/>
    </xf>
    <xf numFmtId="0" fontId="34" fillId="4" borderId="2" xfId="0" applyNumberFormat="1" applyFont="1" applyFill="1" applyBorder="1" applyAlignment="1" applyProtection="1">
      <alignment horizontal="center" vertical="center" wrapText="1"/>
    </xf>
    <xf numFmtId="0" fontId="34" fillId="4" borderId="4" xfId="0" applyNumberFormat="1" applyFont="1" applyFill="1" applyBorder="1" applyAlignment="1" applyProtection="1">
      <alignment horizontal="center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no 2" xfId="2"/>
    <cellStyle name="Normalno 2 2" xfId="3"/>
    <cellStyle name="Normalno 3" xfId="4"/>
    <cellStyle name="Normalno 3 2" xfId="1"/>
    <cellStyle name="Normalno 3 3" xfId="5"/>
    <cellStyle name="Normalno 4" xfId="6"/>
    <cellStyle name="Obično_List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="140" zoomScaleNormal="140" workbookViewId="0">
      <selection activeCell="G7" sqref="G7"/>
    </sheetView>
  </sheetViews>
  <sheetFormatPr defaultRowHeight="15" x14ac:dyDescent="0.25"/>
  <cols>
    <col min="5" max="5" width="25.28515625" customWidth="1"/>
    <col min="6" max="6" width="13.28515625" customWidth="1"/>
    <col min="7" max="7" width="23" customWidth="1"/>
    <col min="8" max="8" width="25.28515625" customWidth="1"/>
  </cols>
  <sheetData>
    <row r="1" spans="1:9" ht="42" customHeight="1" x14ac:dyDescent="0.25">
      <c r="A1" s="204" t="s">
        <v>200</v>
      </c>
      <c r="B1" s="204"/>
      <c r="C1" s="204"/>
      <c r="D1" s="204"/>
      <c r="E1" s="204"/>
      <c r="F1" s="204"/>
      <c r="G1" s="204"/>
      <c r="H1" s="204"/>
      <c r="I1" s="100"/>
    </row>
    <row r="2" spans="1:9" ht="18" customHeight="1" x14ac:dyDescent="0.25">
      <c r="A2" s="5"/>
      <c r="B2" s="5"/>
      <c r="C2" s="5"/>
      <c r="D2" s="5"/>
      <c r="E2" s="5"/>
      <c r="F2" s="24"/>
      <c r="G2" s="5"/>
      <c r="H2" s="5"/>
    </row>
    <row r="3" spans="1:9" ht="15.75" x14ac:dyDescent="0.25">
      <c r="A3" s="207" t="s">
        <v>26</v>
      </c>
      <c r="B3" s="207"/>
      <c r="C3" s="207"/>
      <c r="D3" s="207"/>
      <c r="E3" s="207"/>
      <c r="F3" s="207"/>
      <c r="G3" s="207"/>
      <c r="H3" s="209"/>
    </row>
    <row r="4" spans="1:9" ht="18" x14ac:dyDescent="0.25">
      <c r="A4" s="5"/>
      <c r="B4" s="5"/>
      <c r="C4" s="5"/>
      <c r="D4" s="5"/>
      <c r="E4" s="5"/>
      <c r="F4" s="24"/>
      <c r="G4" s="5"/>
      <c r="H4" s="6"/>
    </row>
    <row r="5" spans="1:9" ht="18" customHeight="1" x14ac:dyDescent="0.25">
      <c r="A5" s="207" t="s">
        <v>30</v>
      </c>
      <c r="B5" s="208"/>
      <c r="C5" s="208"/>
      <c r="D5" s="208"/>
      <c r="E5" s="208"/>
      <c r="F5" s="208"/>
      <c r="G5" s="208"/>
      <c r="H5" s="208"/>
    </row>
    <row r="6" spans="1:9" ht="18" x14ac:dyDescent="0.25">
      <c r="A6" s="1"/>
      <c r="B6" s="2"/>
      <c r="C6" s="2"/>
      <c r="D6" s="2"/>
      <c r="E6" s="7"/>
      <c r="F6" s="7"/>
      <c r="G6" s="8"/>
      <c r="H6" s="33" t="s">
        <v>120</v>
      </c>
    </row>
    <row r="7" spans="1:9" ht="39" x14ac:dyDescent="0.25">
      <c r="A7" s="27"/>
      <c r="B7" s="28"/>
      <c r="C7" s="28"/>
      <c r="D7" s="29"/>
      <c r="E7" s="30"/>
      <c r="F7" s="101" t="s">
        <v>128</v>
      </c>
      <c r="G7" s="4" t="s">
        <v>129</v>
      </c>
      <c r="H7" s="4" t="s">
        <v>130</v>
      </c>
    </row>
    <row r="8" spans="1:9" x14ac:dyDescent="0.25">
      <c r="A8" s="210" t="s">
        <v>0</v>
      </c>
      <c r="B8" s="211"/>
      <c r="C8" s="211"/>
      <c r="D8" s="211"/>
      <c r="E8" s="212"/>
      <c r="F8" s="81">
        <f>F9+F10</f>
        <v>0</v>
      </c>
      <c r="G8" s="81">
        <f>G9+G10</f>
        <v>3506955.08</v>
      </c>
      <c r="H8" s="81">
        <f t="shared" ref="H8" si="0">H9+H10</f>
        <v>3375169.61</v>
      </c>
    </row>
    <row r="9" spans="1:9" x14ac:dyDescent="0.25">
      <c r="A9" s="213" t="s">
        <v>1</v>
      </c>
      <c r="B9" s="206"/>
      <c r="C9" s="206"/>
      <c r="D9" s="206"/>
      <c r="E9" s="214"/>
      <c r="F9" s="102"/>
      <c r="G9" s="82">
        <f>' Račun prihoda i rashoda'!F11</f>
        <v>3506955.08</v>
      </c>
      <c r="H9" s="82">
        <f>' Račun prihoda i rashoda'!G11</f>
        <v>3375169.61</v>
      </c>
    </row>
    <row r="10" spans="1:9" x14ac:dyDescent="0.25">
      <c r="A10" s="215" t="s">
        <v>2</v>
      </c>
      <c r="B10" s="214"/>
      <c r="C10" s="214"/>
      <c r="D10" s="214"/>
      <c r="E10" s="214"/>
      <c r="F10" s="102"/>
      <c r="G10" s="82"/>
      <c r="H10" s="82"/>
    </row>
    <row r="11" spans="1:9" x14ac:dyDescent="0.25">
      <c r="A11" s="34" t="s">
        <v>3</v>
      </c>
      <c r="B11" s="35"/>
      <c r="C11" s="35"/>
      <c r="D11" s="35"/>
      <c r="E11" s="35"/>
      <c r="F11" s="81">
        <f>F12+F13</f>
        <v>0</v>
      </c>
      <c r="G11" s="81">
        <f>G12+G13</f>
        <v>3528354.2199999997</v>
      </c>
      <c r="H11" s="81">
        <f t="shared" ref="H11" si="1">H12+H13</f>
        <v>3382423.5699999994</v>
      </c>
    </row>
    <row r="12" spans="1:9" x14ac:dyDescent="0.25">
      <c r="A12" s="205" t="s">
        <v>4</v>
      </c>
      <c r="B12" s="206"/>
      <c r="C12" s="206"/>
      <c r="D12" s="206"/>
      <c r="E12" s="206"/>
      <c r="F12" s="51"/>
      <c r="G12" s="82">
        <f>' Račun prihoda i rashoda'!F82</f>
        <v>3446358.82</v>
      </c>
      <c r="H12" s="82">
        <f>' Račun prihoda i rashoda'!G82</f>
        <v>3303873.4699999993</v>
      </c>
    </row>
    <row r="13" spans="1:9" x14ac:dyDescent="0.25">
      <c r="A13" s="218" t="s">
        <v>5</v>
      </c>
      <c r="B13" s="214"/>
      <c r="C13" s="214"/>
      <c r="D13" s="214"/>
      <c r="E13" s="214"/>
      <c r="F13" s="102"/>
      <c r="G13" s="83">
        <f>' Račun prihoda i rashoda'!F264</f>
        <v>81995.400000000009</v>
      </c>
      <c r="H13" s="83">
        <f>' Račun prihoda i rashoda'!G264</f>
        <v>78550.100000000006</v>
      </c>
    </row>
    <row r="14" spans="1:9" x14ac:dyDescent="0.25">
      <c r="A14" s="217" t="s">
        <v>6</v>
      </c>
      <c r="B14" s="211"/>
      <c r="C14" s="211"/>
      <c r="D14" s="211"/>
      <c r="E14" s="211"/>
      <c r="F14" s="84">
        <f>F8-F11</f>
        <v>0</v>
      </c>
      <c r="G14" s="84">
        <f>G8-G11</f>
        <v>-21399.139999999665</v>
      </c>
      <c r="H14" s="84">
        <f t="shared" ref="H14" si="2">H8-H11</f>
        <v>-7253.9599999994971</v>
      </c>
    </row>
    <row r="15" spans="1:9" ht="18" x14ac:dyDescent="0.25">
      <c r="A15" s="5"/>
      <c r="B15" s="9"/>
      <c r="C15" s="9"/>
      <c r="D15" s="9"/>
      <c r="E15" s="9"/>
      <c r="F15" s="22"/>
      <c r="G15" s="3"/>
      <c r="H15" s="3"/>
    </row>
    <row r="16" spans="1:9" ht="18" customHeight="1" x14ac:dyDescent="0.25">
      <c r="A16" s="207" t="s">
        <v>31</v>
      </c>
      <c r="B16" s="208"/>
      <c r="C16" s="208"/>
      <c r="D16" s="208"/>
      <c r="E16" s="208"/>
      <c r="F16" s="208"/>
      <c r="G16" s="208"/>
      <c r="H16" s="208"/>
    </row>
    <row r="17" spans="1:8" ht="18" x14ac:dyDescent="0.25">
      <c r="A17" s="24"/>
      <c r="B17" s="22"/>
      <c r="C17" s="22"/>
      <c r="D17" s="22"/>
      <c r="E17" s="22"/>
      <c r="F17" s="22"/>
      <c r="G17" s="23"/>
      <c r="H17" s="23"/>
    </row>
    <row r="18" spans="1:8" ht="39" x14ac:dyDescent="0.25">
      <c r="A18" s="27"/>
      <c r="B18" s="28"/>
      <c r="C18" s="28"/>
      <c r="D18" s="29"/>
      <c r="E18" s="30"/>
      <c r="F18" s="101" t="s">
        <v>128</v>
      </c>
      <c r="G18" s="4" t="s">
        <v>129</v>
      </c>
      <c r="H18" s="4" t="s">
        <v>130</v>
      </c>
    </row>
    <row r="19" spans="1:8" ht="15.75" customHeight="1" x14ac:dyDescent="0.25">
      <c r="A19" s="213" t="s">
        <v>8</v>
      </c>
      <c r="B19" s="216"/>
      <c r="C19" s="216"/>
      <c r="D19" s="216"/>
      <c r="E19" s="216"/>
      <c r="F19" s="104"/>
      <c r="G19" s="32"/>
      <c r="H19" s="32"/>
    </row>
    <row r="20" spans="1:8" x14ac:dyDescent="0.25">
      <c r="A20" s="213" t="s">
        <v>9</v>
      </c>
      <c r="B20" s="206"/>
      <c r="C20" s="206"/>
      <c r="D20" s="206"/>
      <c r="E20" s="206"/>
      <c r="F20" s="51"/>
      <c r="G20" s="32"/>
      <c r="H20" s="32"/>
    </row>
    <row r="21" spans="1:8" x14ac:dyDescent="0.25">
      <c r="A21" s="217" t="s">
        <v>10</v>
      </c>
      <c r="B21" s="211"/>
      <c r="C21" s="211"/>
      <c r="D21" s="211"/>
      <c r="E21" s="211"/>
      <c r="F21" s="103"/>
      <c r="G21" s="31">
        <v>0</v>
      </c>
      <c r="H21" s="31">
        <v>0</v>
      </c>
    </row>
    <row r="22" spans="1:8" ht="18" x14ac:dyDescent="0.25">
      <c r="A22" s="21"/>
      <c r="B22" s="22"/>
      <c r="C22" s="22"/>
      <c r="D22" s="22"/>
      <c r="E22" s="22"/>
      <c r="F22" s="22"/>
      <c r="G22" s="23"/>
      <c r="H22" s="23"/>
    </row>
    <row r="23" spans="1:8" ht="18" customHeight="1" x14ac:dyDescent="0.25">
      <c r="A23" s="207" t="s">
        <v>38</v>
      </c>
      <c r="B23" s="208"/>
      <c r="C23" s="208"/>
      <c r="D23" s="208"/>
      <c r="E23" s="208"/>
      <c r="F23" s="208"/>
      <c r="G23" s="208"/>
      <c r="H23" s="208"/>
    </row>
    <row r="24" spans="1:8" ht="18" x14ac:dyDescent="0.25">
      <c r="A24" s="21"/>
      <c r="B24" s="22"/>
      <c r="C24" s="22"/>
      <c r="D24" s="22"/>
      <c r="E24" s="22"/>
      <c r="F24" s="22"/>
      <c r="G24" s="23"/>
      <c r="H24" s="23"/>
    </row>
    <row r="25" spans="1:8" ht="39" x14ac:dyDescent="0.25">
      <c r="A25" s="27"/>
      <c r="B25" s="28"/>
      <c r="C25" s="28"/>
      <c r="D25" s="29"/>
      <c r="E25" s="30"/>
      <c r="F25" s="101" t="s">
        <v>128</v>
      </c>
      <c r="G25" s="4" t="s">
        <v>129</v>
      </c>
      <c r="H25" s="4" t="s">
        <v>130</v>
      </c>
    </row>
    <row r="26" spans="1:8" x14ac:dyDescent="0.25">
      <c r="A26" s="221" t="s">
        <v>32</v>
      </c>
      <c r="B26" s="222"/>
      <c r="C26" s="222"/>
      <c r="D26" s="222"/>
      <c r="E26" s="222"/>
      <c r="F26" s="105"/>
      <c r="G26" s="86">
        <v>21399.14</v>
      </c>
      <c r="H26" s="86">
        <v>21399.14</v>
      </c>
    </row>
    <row r="27" spans="1:8" ht="30" customHeight="1" x14ac:dyDescent="0.25">
      <c r="A27" s="223" t="s">
        <v>7</v>
      </c>
      <c r="B27" s="224"/>
      <c r="C27" s="224"/>
      <c r="D27" s="224"/>
      <c r="E27" s="224"/>
      <c r="F27" s="106"/>
      <c r="G27" s="85">
        <v>21399.14</v>
      </c>
      <c r="H27" s="85">
        <v>21399.14</v>
      </c>
    </row>
    <row r="30" spans="1:8" x14ac:dyDescent="0.25">
      <c r="A30" s="205" t="s">
        <v>11</v>
      </c>
      <c r="B30" s="206"/>
      <c r="C30" s="206"/>
      <c r="D30" s="206"/>
      <c r="E30" s="206"/>
      <c r="F30" s="83">
        <f>F14+F27</f>
        <v>0</v>
      </c>
      <c r="G30" s="83">
        <f>G14+G27</f>
        <v>3.3469405025243759E-10</v>
      </c>
      <c r="H30" s="83">
        <f t="shared" ref="H30" si="3">H14+H27</f>
        <v>14145.180000000502</v>
      </c>
    </row>
    <row r="31" spans="1:8" ht="11.25" customHeight="1" x14ac:dyDescent="0.25">
      <c r="A31" s="16"/>
      <c r="B31" s="17"/>
      <c r="C31" s="17"/>
      <c r="D31" s="17"/>
      <c r="E31" s="17"/>
      <c r="F31" s="17"/>
      <c r="G31" s="18"/>
      <c r="H31" s="18"/>
    </row>
    <row r="32" spans="1:8" ht="24.95" customHeight="1" x14ac:dyDescent="0.25">
      <c r="A32" s="219" t="s">
        <v>39</v>
      </c>
      <c r="B32" s="220"/>
      <c r="C32" s="220"/>
      <c r="D32" s="220"/>
      <c r="E32" s="220"/>
      <c r="F32" s="220"/>
      <c r="G32" s="220"/>
      <c r="H32" s="220"/>
    </row>
    <row r="33" spans="1:8" ht="24.95" customHeight="1" x14ac:dyDescent="0.25"/>
    <row r="34" spans="1:8" ht="24.95" customHeight="1" x14ac:dyDescent="0.25">
      <c r="A34" s="219" t="s">
        <v>33</v>
      </c>
      <c r="B34" s="220"/>
      <c r="C34" s="220"/>
      <c r="D34" s="220"/>
      <c r="E34" s="220"/>
      <c r="F34" s="220"/>
      <c r="G34" s="220"/>
      <c r="H34" s="220"/>
    </row>
    <row r="35" spans="1:8" ht="24.95" customHeight="1" x14ac:dyDescent="0.25"/>
    <row r="36" spans="1:8" ht="24.95" customHeight="1" x14ac:dyDescent="0.25">
      <c r="A36" s="219" t="s">
        <v>34</v>
      </c>
      <c r="B36" s="220"/>
      <c r="C36" s="220"/>
      <c r="D36" s="220"/>
      <c r="E36" s="220"/>
      <c r="F36" s="220"/>
      <c r="G36" s="220"/>
      <c r="H36" s="220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:H1"/>
    <mergeCell ref="A12:E12"/>
    <mergeCell ref="A5:H5"/>
    <mergeCell ref="A16:H16"/>
    <mergeCell ref="A3:H3"/>
    <mergeCell ref="A8:E8"/>
    <mergeCell ref="A9:E9"/>
    <mergeCell ref="A10:E10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7"/>
  <sheetViews>
    <sheetView zoomScale="150" zoomScaleNormal="150" workbookViewId="0">
      <selection activeCell="K14" sqref="K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7109375" bestFit="1" customWidth="1"/>
    <col min="4" max="4" width="34.140625" customWidth="1"/>
    <col min="5" max="5" width="12.28515625" customWidth="1"/>
    <col min="6" max="6" width="23.28515625" customWidth="1"/>
    <col min="7" max="7" width="21.28515625" customWidth="1"/>
    <col min="8" max="8" width="12.7109375" style="145" customWidth="1"/>
  </cols>
  <sheetData>
    <row r="1" spans="1:11" ht="42" customHeight="1" x14ac:dyDescent="0.25">
      <c r="A1" s="204" t="s">
        <v>200</v>
      </c>
      <c r="B1" s="204"/>
      <c r="C1" s="204"/>
      <c r="D1" s="204"/>
      <c r="E1" s="204"/>
      <c r="F1" s="204"/>
      <c r="G1" s="204"/>
      <c r="H1" s="204"/>
      <c r="I1" s="100"/>
      <c r="J1" s="100"/>
      <c r="K1" s="100"/>
    </row>
    <row r="2" spans="1:11" ht="18" customHeight="1" x14ac:dyDescent="0.25">
      <c r="A2" s="5"/>
      <c r="B2" s="5"/>
      <c r="C2" s="5"/>
      <c r="D2" s="5"/>
      <c r="E2" s="24"/>
      <c r="F2" s="5"/>
      <c r="G2" s="5"/>
      <c r="H2" s="24"/>
    </row>
    <row r="3" spans="1:11" ht="15.75" x14ac:dyDescent="0.25">
      <c r="A3" s="207" t="s">
        <v>26</v>
      </c>
      <c r="B3" s="207"/>
      <c r="C3" s="207"/>
      <c r="D3" s="207"/>
      <c r="E3" s="207"/>
      <c r="F3" s="207"/>
      <c r="G3" s="209"/>
      <c r="H3" s="209"/>
    </row>
    <row r="4" spans="1:11" ht="18" x14ac:dyDescent="0.25">
      <c r="A4" s="5"/>
      <c r="B4" s="5"/>
      <c r="C4" s="5"/>
      <c r="D4" s="5"/>
      <c r="E4" s="24"/>
      <c r="F4" s="5"/>
      <c r="G4" s="6"/>
      <c r="H4" s="132"/>
    </row>
    <row r="5" spans="1:11" ht="18" customHeight="1" x14ac:dyDescent="0.25">
      <c r="A5" s="207" t="s">
        <v>12</v>
      </c>
      <c r="B5" s="208"/>
      <c r="C5" s="208"/>
      <c r="D5" s="208"/>
      <c r="E5" s="208"/>
      <c r="F5" s="208"/>
      <c r="G5" s="208"/>
      <c r="H5" s="208"/>
    </row>
    <row r="6" spans="1:11" ht="18" x14ac:dyDescent="0.25">
      <c r="A6" s="5"/>
      <c r="B6" s="5"/>
      <c r="C6" s="5"/>
      <c r="D6" s="5"/>
      <c r="E6" s="24"/>
      <c r="F6" s="5"/>
      <c r="G6" s="6"/>
      <c r="H6" s="132"/>
    </row>
    <row r="7" spans="1:11" ht="15.75" x14ac:dyDescent="0.25">
      <c r="A7" s="207" t="s">
        <v>1</v>
      </c>
      <c r="B7" s="228"/>
      <c r="C7" s="228"/>
      <c r="D7" s="228"/>
      <c r="E7" s="228"/>
      <c r="F7" s="228"/>
      <c r="G7" s="228"/>
      <c r="H7" s="228"/>
    </row>
    <row r="8" spans="1:11" ht="18" x14ac:dyDescent="0.25">
      <c r="A8" s="5"/>
      <c r="B8" s="5"/>
      <c r="C8" s="5"/>
      <c r="D8" s="5"/>
      <c r="E8" s="24"/>
      <c r="F8" s="62"/>
      <c r="G8" s="62"/>
      <c r="H8" s="62"/>
      <c r="I8" s="49"/>
    </row>
    <row r="9" spans="1:11" ht="51" x14ac:dyDescent="0.25">
      <c r="A9" s="20" t="s">
        <v>13</v>
      </c>
      <c r="B9" s="19" t="s">
        <v>141</v>
      </c>
      <c r="C9" s="19" t="s">
        <v>15</v>
      </c>
      <c r="D9" s="19" t="s">
        <v>133</v>
      </c>
      <c r="E9" s="19" t="s">
        <v>128</v>
      </c>
      <c r="F9" s="20" t="s">
        <v>129</v>
      </c>
      <c r="G9" s="20" t="s">
        <v>130</v>
      </c>
      <c r="H9" s="20" t="s">
        <v>131</v>
      </c>
    </row>
    <row r="10" spans="1:11" x14ac:dyDescent="0.25">
      <c r="A10" s="225">
        <v>1</v>
      </c>
      <c r="B10" s="226"/>
      <c r="C10" s="226"/>
      <c r="D10" s="227"/>
      <c r="E10" s="107">
        <v>2</v>
      </c>
      <c r="F10" s="108">
        <v>3</v>
      </c>
      <c r="G10" s="108">
        <v>4</v>
      </c>
      <c r="H10" s="108" t="s">
        <v>132</v>
      </c>
    </row>
    <row r="11" spans="1:11" ht="15.75" customHeight="1" x14ac:dyDescent="0.25">
      <c r="A11" s="50">
        <v>6</v>
      </c>
      <c r="B11" s="50"/>
      <c r="C11" s="50"/>
      <c r="D11" s="50" t="s">
        <v>16</v>
      </c>
      <c r="E11" s="50"/>
      <c r="F11" s="69">
        <f>F12+F25+F29+F33+F42+F47</f>
        <v>3506955.08</v>
      </c>
      <c r="G11" s="69">
        <f>G12+G25+G29+G33+G42+G47</f>
        <v>3375169.61</v>
      </c>
      <c r="H11" s="133"/>
    </row>
    <row r="12" spans="1:11" ht="25.5" x14ac:dyDescent="0.25">
      <c r="A12" s="37"/>
      <c r="B12" s="38">
        <v>63</v>
      </c>
      <c r="C12" s="38"/>
      <c r="D12" s="38" t="s">
        <v>35</v>
      </c>
      <c r="E12" s="38"/>
      <c r="F12" s="58">
        <f>F16+F22+F13</f>
        <v>2928091.44</v>
      </c>
      <c r="G12" s="58">
        <f>G16+G22+G13</f>
        <v>2861876.89</v>
      </c>
      <c r="H12" s="134">
        <f>(G12/F12)*100</f>
        <v>97.738644733034704</v>
      </c>
    </row>
    <row r="13" spans="1:11" x14ac:dyDescent="0.25">
      <c r="A13" s="104"/>
      <c r="B13" s="177"/>
      <c r="C13" s="178">
        <v>53</v>
      </c>
      <c r="D13" s="115" t="s">
        <v>215</v>
      </c>
      <c r="E13" s="177"/>
      <c r="F13" s="179">
        <v>20273.16</v>
      </c>
      <c r="G13" s="179">
        <f>G14</f>
        <v>20273.16</v>
      </c>
      <c r="H13" s="135">
        <f>(G13/F13)*100</f>
        <v>100</v>
      </c>
    </row>
    <row r="14" spans="1:11" ht="22.5" x14ac:dyDescent="0.25">
      <c r="A14" s="104"/>
      <c r="B14" s="104">
        <v>634</v>
      </c>
      <c r="C14" s="178"/>
      <c r="D14" s="128" t="s">
        <v>218</v>
      </c>
      <c r="E14" s="177"/>
      <c r="F14" s="60"/>
      <c r="G14" s="60">
        <f>G15</f>
        <v>20273.16</v>
      </c>
      <c r="H14" s="142"/>
    </row>
    <row r="15" spans="1:11" ht="22.5" x14ac:dyDescent="0.25">
      <c r="A15" s="104"/>
      <c r="B15" s="177">
        <v>6341</v>
      </c>
      <c r="C15" s="177"/>
      <c r="D15" s="128" t="s">
        <v>219</v>
      </c>
      <c r="E15" s="177"/>
      <c r="F15" s="60"/>
      <c r="G15" s="60">
        <v>20273.16</v>
      </c>
      <c r="H15" s="142"/>
    </row>
    <row r="16" spans="1:11" s="117" customFormat="1" x14ac:dyDescent="0.25">
      <c r="A16" s="115"/>
      <c r="B16" s="115"/>
      <c r="C16" s="115">
        <v>57</v>
      </c>
      <c r="D16" s="115" t="s">
        <v>51</v>
      </c>
      <c r="E16" s="115"/>
      <c r="F16" s="116">
        <f>2451711.7+315252.56+4703.28+4681.54+15100+668.53+77.78+87.02</f>
        <v>2792282.4099999997</v>
      </c>
      <c r="G16" s="116">
        <f>G17+G20</f>
        <v>2742022.26</v>
      </c>
      <c r="H16" s="135">
        <f>(G16/F16)*100</f>
        <v>98.200033427134613</v>
      </c>
    </row>
    <row r="17" spans="1:8" ht="22.5" x14ac:dyDescent="0.25">
      <c r="A17" s="12"/>
      <c r="B17" s="25">
        <v>636</v>
      </c>
      <c r="C17" s="13"/>
      <c r="D17" s="128" t="s">
        <v>136</v>
      </c>
      <c r="E17" s="13"/>
      <c r="F17" s="55"/>
      <c r="G17" s="121">
        <f>G18+G19</f>
        <v>2726315.32</v>
      </c>
      <c r="H17" s="136"/>
    </row>
    <row r="18" spans="1:8" ht="22.5" x14ac:dyDescent="0.25">
      <c r="A18" s="12"/>
      <c r="B18" s="12">
        <v>6361</v>
      </c>
      <c r="C18" s="13"/>
      <c r="D18" s="128" t="s">
        <v>137</v>
      </c>
      <c r="E18" s="13"/>
      <c r="F18" s="55"/>
      <c r="G18" s="55">
        <v>2722577.71</v>
      </c>
      <c r="H18" s="136"/>
    </row>
    <row r="19" spans="1:8" ht="22.5" x14ac:dyDescent="0.25">
      <c r="A19" s="12"/>
      <c r="B19" s="12">
        <v>6362</v>
      </c>
      <c r="C19" s="13"/>
      <c r="D19" s="128" t="s">
        <v>138</v>
      </c>
      <c r="E19" s="13"/>
      <c r="F19" s="55"/>
      <c r="G19" s="55">
        <v>3737.61</v>
      </c>
      <c r="H19" s="136"/>
    </row>
    <row r="20" spans="1:8" ht="22.5" x14ac:dyDescent="0.25">
      <c r="A20" s="12"/>
      <c r="B20" s="25">
        <v>639</v>
      </c>
      <c r="C20" s="13"/>
      <c r="D20" s="128" t="s">
        <v>139</v>
      </c>
      <c r="E20" s="13"/>
      <c r="F20" s="55"/>
      <c r="G20" s="121">
        <f>G21</f>
        <v>15706.94</v>
      </c>
      <c r="H20" s="136"/>
    </row>
    <row r="21" spans="1:8" ht="22.5" x14ac:dyDescent="0.25">
      <c r="A21" s="12"/>
      <c r="B21" s="12">
        <v>6391</v>
      </c>
      <c r="C21" s="13"/>
      <c r="D21" s="128" t="s">
        <v>140</v>
      </c>
      <c r="E21" s="13"/>
      <c r="F21" s="55"/>
      <c r="G21" s="55">
        <v>15706.94</v>
      </c>
      <c r="H21" s="136"/>
    </row>
    <row r="22" spans="1:8" s="117" customFormat="1" x14ac:dyDescent="0.25">
      <c r="A22" s="115"/>
      <c r="B22" s="115"/>
      <c r="C22" s="115">
        <v>5402</v>
      </c>
      <c r="D22" s="115" t="s">
        <v>56</v>
      </c>
      <c r="E22" s="115"/>
      <c r="F22" s="116">
        <f>24725.62+85281.56+3788.35+1740.34</f>
        <v>115535.87</v>
      </c>
      <c r="G22" s="116">
        <f>G23</f>
        <v>99581.47</v>
      </c>
      <c r="H22" s="135">
        <f>(G22/F22)*100</f>
        <v>86.190955241865581</v>
      </c>
    </row>
    <row r="23" spans="1:8" s="112" customFormat="1" ht="22.5" x14ac:dyDescent="0.25">
      <c r="A23" s="12"/>
      <c r="B23" s="25">
        <v>639</v>
      </c>
      <c r="C23" s="12"/>
      <c r="D23" s="128" t="s">
        <v>139</v>
      </c>
      <c r="E23" s="12"/>
      <c r="F23" s="55"/>
      <c r="G23" s="121">
        <f>G24</f>
        <v>99581.47</v>
      </c>
      <c r="H23" s="136"/>
    </row>
    <row r="24" spans="1:8" s="112" customFormat="1" ht="33.75" x14ac:dyDescent="0.25">
      <c r="A24" s="12"/>
      <c r="B24" s="12">
        <v>6393</v>
      </c>
      <c r="C24" s="12"/>
      <c r="D24" s="128" t="s">
        <v>142</v>
      </c>
      <c r="E24" s="12"/>
      <c r="F24" s="55"/>
      <c r="G24" s="55">
        <v>99581.47</v>
      </c>
      <c r="H24" s="136"/>
    </row>
    <row r="25" spans="1:8" x14ac:dyDescent="0.25">
      <c r="A25" s="39"/>
      <c r="B25" s="39">
        <v>64</v>
      </c>
      <c r="C25" s="40"/>
      <c r="D25" s="39" t="s">
        <v>40</v>
      </c>
      <c r="E25" s="39"/>
      <c r="F25" s="58">
        <f>F26</f>
        <v>92.9</v>
      </c>
      <c r="G25" s="58">
        <f t="shared" ref="G25" si="0">G26</f>
        <v>0.03</v>
      </c>
      <c r="H25" s="134">
        <f>(G25/F25)*100</f>
        <v>3.2292787944025833E-2</v>
      </c>
    </row>
    <row r="26" spans="1:8" s="117" customFormat="1" x14ac:dyDescent="0.25">
      <c r="A26" s="115"/>
      <c r="B26" s="115"/>
      <c r="C26" s="115">
        <v>31</v>
      </c>
      <c r="D26" s="115" t="s">
        <v>52</v>
      </c>
      <c r="E26" s="115"/>
      <c r="F26" s="116">
        <f>26.54+66.36</f>
        <v>92.9</v>
      </c>
      <c r="G26" s="116">
        <f>G27</f>
        <v>0.03</v>
      </c>
      <c r="H26" s="135">
        <f>(G26/F26)*100</f>
        <v>3.2292787944025833E-2</v>
      </c>
    </row>
    <row r="27" spans="1:8" x14ac:dyDescent="0.25">
      <c r="A27" s="12"/>
      <c r="B27" s="25">
        <v>641</v>
      </c>
      <c r="C27" s="13"/>
      <c r="D27" s="129" t="s">
        <v>143</v>
      </c>
      <c r="E27" s="13"/>
      <c r="F27" s="55"/>
      <c r="G27" s="121">
        <f>G28</f>
        <v>0.03</v>
      </c>
      <c r="H27" s="136"/>
    </row>
    <row r="28" spans="1:8" ht="22.5" x14ac:dyDescent="0.25">
      <c r="A28" s="12"/>
      <c r="B28" s="12">
        <v>6413</v>
      </c>
      <c r="C28" s="13"/>
      <c r="D28" s="128" t="s">
        <v>144</v>
      </c>
      <c r="E28" s="13"/>
      <c r="F28" s="55"/>
      <c r="G28" s="55">
        <v>0.03</v>
      </c>
      <c r="H28" s="136"/>
    </row>
    <row r="29" spans="1:8" ht="58.5" customHeight="1" x14ac:dyDescent="0.25">
      <c r="A29" s="39"/>
      <c r="B29" s="39">
        <v>65</v>
      </c>
      <c r="C29" s="40"/>
      <c r="D29" s="41" t="s">
        <v>41</v>
      </c>
      <c r="E29" s="41"/>
      <c r="F29" s="58">
        <f>F30</f>
        <v>92654.45</v>
      </c>
      <c r="G29" s="58">
        <f t="shared" ref="G29" si="1">G30</f>
        <v>74263.25</v>
      </c>
      <c r="H29" s="134">
        <f>(G29/F29)*100</f>
        <v>80.15076448028131</v>
      </c>
    </row>
    <row r="30" spans="1:8" s="117" customFormat="1" x14ac:dyDescent="0.25">
      <c r="A30" s="115"/>
      <c r="B30" s="115"/>
      <c r="C30" s="115">
        <v>41</v>
      </c>
      <c r="D30" s="115" t="s">
        <v>50</v>
      </c>
      <c r="E30" s="115"/>
      <c r="F30" s="116">
        <f>3000+76054.45+200+13400</f>
        <v>92654.45</v>
      </c>
      <c r="G30" s="116">
        <f>G31</f>
        <v>74263.25</v>
      </c>
      <c r="H30" s="135">
        <f>(G30/F30)*100</f>
        <v>80.15076448028131</v>
      </c>
    </row>
    <row r="31" spans="1:8" x14ac:dyDescent="0.25">
      <c r="A31" s="12"/>
      <c r="B31" s="25">
        <v>652</v>
      </c>
      <c r="C31" s="13"/>
      <c r="D31" s="129" t="s">
        <v>145</v>
      </c>
      <c r="E31" s="13"/>
      <c r="F31" s="55"/>
      <c r="G31" s="121">
        <f>G32</f>
        <v>74263.25</v>
      </c>
      <c r="H31" s="136"/>
    </row>
    <row r="32" spans="1:8" x14ac:dyDescent="0.25">
      <c r="A32" s="12"/>
      <c r="B32" s="12">
        <v>6526</v>
      </c>
      <c r="C32" s="13"/>
      <c r="D32" s="129" t="s">
        <v>146</v>
      </c>
      <c r="E32" s="13"/>
      <c r="F32" s="55"/>
      <c r="G32" s="55">
        <v>74263.25</v>
      </c>
      <c r="H32" s="136"/>
    </row>
    <row r="33" spans="1:8" ht="25.5" x14ac:dyDescent="0.25">
      <c r="A33" s="39"/>
      <c r="B33" s="39">
        <v>66</v>
      </c>
      <c r="C33" s="40"/>
      <c r="D33" s="41" t="s">
        <v>46</v>
      </c>
      <c r="E33" s="41"/>
      <c r="F33" s="58">
        <f>SUM(F34:F38)</f>
        <v>7278.09</v>
      </c>
      <c r="G33" s="58">
        <f>G35+G39</f>
        <v>6449.55</v>
      </c>
      <c r="H33" s="134">
        <f>(G33/F33)*100</f>
        <v>88.615969299637669</v>
      </c>
    </row>
    <row r="34" spans="1:8" s="117" customFormat="1" x14ac:dyDescent="0.25">
      <c r="A34" s="115"/>
      <c r="B34" s="115"/>
      <c r="C34" s="115">
        <v>31</v>
      </c>
      <c r="D34" s="115" t="s">
        <v>52</v>
      </c>
      <c r="E34" s="115"/>
      <c r="F34" s="116">
        <f>331.82+1128.14+66.36+1924.49</f>
        <v>3450.81</v>
      </c>
      <c r="G34" s="116">
        <f>G35</f>
        <v>3206.4100000000003</v>
      </c>
      <c r="H34" s="135">
        <f>(G34/F34)*100</f>
        <v>92.917604852194131</v>
      </c>
    </row>
    <row r="35" spans="1:8" ht="22.5" x14ac:dyDescent="0.25">
      <c r="A35" s="12"/>
      <c r="B35" s="25">
        <v>661</v>
      </c>
      <c r="C35" s="13"/>
      <c r="D35" s="128" t="s">
        <v>147</v>
      </c>
      <c r="E35" s="13"/>
      <c r="F35" s="55"/>
      <c r="G35" s="121">
        <f>G36+G37</f>
        <v>3206.4100000000003</v>
      </c>
      <c r="H35" s="136"/>
    </row>
    <row r="36" spans="1:8" x14ac:dyDescent="0.25">
      <c r="A36" s="12"/>
      <c r="B36" s="12">
        <v>6614</v>
      </c>
      <c r="C36" s="13"/>
      <c r="D36" s="129" t="s">
        <v>148</v>
      </c>
      <c r="E36" s="13"/>
      <c r="F36" s="55"/>
      <c r="G36" s="55">
        <v>466.84</v>
      </c>
      <c r="H36" s="136"/>
    </row>
    <row r="37" spans="1:8" x14ac:dyDescent="0.25">
      <c r="A37" s="12"/>
      <c r="B37" s="12">
        <v>6615</v>
      </c>
      <c r="C37" s="13"/>
      <c r="D37" s="129" t="s">
        <v>149</v>
      </c>
      <c r="E37" s="13"/>
      <c r="F37" s="55"/>
      <c r="G37" s="55">
        <v>2739.57</v>
      </c>
      <c r="H37" s="136"/>
    </row>
    <row r="38" spans="1:8" s="117" customFormat="1" x14ac:dyDescent="0.25">
      <c r="A38" s="115"/>
      <c r="B38" s="115"/>
      <c r="C38" s="115">
        <v>6103</v>
      </c>
      <c r="D38" s="115" t="s">
        <v>53</v>
      </c>
      <c r="E38" s="115"/>
      <c r="F38" s="116">
        <f>530.89+1116.07+2127.23+53.09</f>
        <v>3827.28</v>
      </c>
      <c r="G38" s="116">
        <f>G39</f>
        <v>3243.14</v>
      </c>
      <c r="H38" s="135">
        <f>(G38/F38)*100</f>
        <v>84.737463681779218</v>
      </c>
    </row>
    <row r="39" spans="1:8" ht="33.75" x14ac:dyDescent="0.25">
      <c r="A39" s="12"/>
      <c r="B39" s="25">
        <v>663</v>
      </c>
      <c r="C39" s="13"/>
      <c r="D39" s="128" t="s">
        <v>150</v>
      </c>
      <c r="E39" s="13"/>
      <c r="F39" s="55"/>
      <c r="G39" s="121">
        <f>G40+G41</f>
        <v>3243.14</v>
      </c>
      <c r="H39" s="136"/>
    </row>
    <row r="40" spans="1:8" x14ac:dyDescent="0.25">
      <c r="A40" s="12"/>
      <c r="B40" s="12">
        <v>6631</v>
      </c>
      <c r="C40" s="13"/>
      <c r="D40" s="129" t="s">
        <v>151</v>
      </c>
      <c r="E40" s="13"/>
      <c r="F40" s="55"/>
      <c r="G40" s="55">
        <v>1475.31</v>
      </c>
      <c r="H40" s="136"/>
    </row>
    <row r="41" spans="1:8" x14ac:dyDescent="0.25">
      <c r="A41" s="12"/>
      <c r="B41" s="12">
        <v>6632</v>
      </c>
      <c r="C41" s="13"/>
      <c r="D41" s="129" t="s">
        <v>152</v>
      </c>
      <c r="E41" s="13"/>
      <c r="F41" s="55"/>
      <c r="G41" s="55">
        <v>1767.83</v>
      </c>
      <c r="H41" s="136"/>
    </row>
    <row r="42" spans="1:8" ht="25.5" x14ac:dyDescent="0.25">
      <c r="A42" s="39"/>
      <c r="B42" s="39">
        <v>67</v>
      </c>
      <c r="C42" s="40"/>
      <c r="D42" s="38" t="s">
        <v>36</v>
      </c>
      <c r="E42" s="38"/>
      <c r="F42" s="58">
        <f>F43</f>
        <v>478705.47999999992</v>
      </c>
      <c r="G42" s="58">
        <f>G43</f>
        <v>432579.89</v>
      </c>
      <c r="H42" s="134">
        <f>(G42/F42)*100</f>
        <v>90.364515985904333</v>
      </c>
    </row>
    <row r="43" spans="1:8" s="117" customFormat="1" x14ac:dyDescent="0.25">
      <c r="A43" s="115"/>
      <c r="B43" s="115"/>
      <c r="C43" s="115">
        <v>11</v>
      </c>
      <c r="D43" s="115" t="s">
        <v>17</v>
      </c>
      <c r="E43" s="115"/>
      <c r="F43" s="116">
        <f>173150.24+793.05+10240.97+34802.5+2243.02+120800+58000+14400+17948.31+20178.43+25101.78+1047.18</f>
        <v>478705.47999999992</v>
      </c>
      <c r="G43" s="116">
        <f>G44</f>
        <v>432579.89</v>
      </c>
      <c r="H43" s="135">
        <f>(G43/F43)*100</f>
        <v>90.364515985904333</v>
      </c>
    </row>
    <row r="44" spans="1:8" ht="33.75" x14ac:dyDescent="0.25">
      <c r="A44" s="12"/>
      <c r="B44" s="12">
        <v>671</v>
      </c>
      <c r="C44" s="13"/>
      <c r="D44" s="128" t="s">
        <v>153</v>
      </c>
      <c r="E44" s="13"/>
      <c r="F44" s="55"/>
      <c r="G44" s="55">
        <f>G45+G46</f>
        <v>432579.89</v>
      </c>
      <c r="H44" s="136"/>
    </row>
    <row r="45" spans="1:8" ht="22.5" x14ac:dyDescent="0.25">
      <c r="A45" s="12"/>
      <c r="B45" s="12">
        <v>6711</v>
      </c>
      <c r="C45" s="13"/>
      <c r="D45" s="128" t="s">
        <v>154</v>
      </c>
      <c r="E45" s="13"/>
      <c r="F45" s="55"/>
      <c r="G45" s="55">
        <f>380183.48</f>
        <v>380183.48</v>
      </c>
      <c r="H45" s="136"/>
    </row>
    <row r="46" spans="1:8" ht="33.75" x14ac:dyDescent="0.25">
      <c r="A46" s="12"/>
      <c r="B46" s="12">
        <v>6712</v>
      </c>
      <c r="C46" s="13"/>
      <c r="D46" s="128" t="s">
        <v>220</v>
      </c>
      <c r="E46" s="13"/>
      <c r="F46" s="55"/>
      <c r="G46" s="55">
        <v>52396.41</v>
      </c>
      <c r="H46" s="136"/>
    </row>
    <row r="47" spans="1:8" x14ac:dyDescent="0.25">
      <c r="A47" s="39"/>
      <c r="B47" s="39">
        <v>68</v>
      </c>
      <c r="C47" s="40"/>
      <c r="D47" s="41" t="s">
        <v>42</v>
      </c>
      <c r="E47" s="41"/>
      <c r="F47" s="58">
        <f>F48</f>
        <v>132.72</v>
      </c>
      <c r="G47" s="58">
        <f t="shared" ref="G47" si="2">G48</f>
        <v>0</v>
      </c>
      <c r="H47" s="134"/>
    </row>
    <row r="48" spans="1:8" s="120" customFormat="1" x14ac:dyDescent="0.25">
      <c r="A48" s="118"/>
      <c r="B48" s="118"/>
      <c r="C48" s="115">
        <v>31</v>
      </c>
      <c r="D48" s="115" t="s">
        <v>52</v>
      </c>
      <c r="E48" s="115"/>
      <c r="F48" s="119">
        <v>132.72</v>
      </c>
      <c r="G48" s="119"/>
      <c r="H48" s="137"/>
    </row>
    <row r="49" spans="1:8" s="120" customFormat="1" x14ac:dyDescent="0.25">
      <c r="A49" s="173"/>
      <c r="B49" s="173"/>
      <c r="C49" s="174"/>
      <c r="D49" s="174"/>
      <c r="E49" s="174"/>
      <c r="F49" s="175"/>
      <c r="G49" s="175"/>
      <c r="H49" s="176"/>
    </row>
    <row r="50" spans="1:8" ht="15.75" x14ac:dyDescent="0.25">
      <c r="A50" s="207" t="s">
        <v>207</v>
      </c>
      <c r="B50" s="228"/>
      <c r="C50" s="228"/>
      <c r="D50" s="228"/>
      <c r="E50" s="228"/>
      <c r="F50" s="228"/>
      <c r="G50" s="228"/>
      <c r="H50" s="228"/>
    </row>
    <row r="51" spans="1:8" x14ac:dyDescent="0.25">
      <c r="A51" s="52"/>
      <c r="B51" s="52"/>
      <c r="C51" s="53"/>
      <c r="D51" s="53"/>
      <c r="E51" s="53"/>
      <c r="F51" s="54"/>
      <c r="G51" s="54"/>
      <c r="H51" s="138" t="s">
        <v>54</v>
      </c>
    </row>
    <row r="52" spans="1:8" ht="38.25" x14ac:dyDescent="0.25">
      <c r="A52" s="20" t="s">
        <v>13</v>
      </c>
      <c r="B52" s="19" t="s">
        <v>14</v>
      </c>
      <c r="C52" s="19" t="s">
        <v>15</v>
      </c>
      <c r="D52" s="19" t="s">
        <v>133</v>
      </c>
      <c r="E52" s="19" t="s">
        <v>128</v>
      </c>
      <c r="F52" s="20" t="s">
        <v>129</v>
      </c>
      <c r="G52" s="20" t="s">
        <v>130</v>
      </c>
      <c r="H52" s="20" t="s">
        <v>131</v>
      </c>
    </row>
    <row r="53" spans="1:8" x14ac:dyDescent="0.25">
      <c r="A53" s="225">
        <v>1</v>
      </c>
      <c r="B53" s="226"/>
      <c r="C53" s="226"/>
      <c r="D53" s="227"/>
      <c r="E53" s="107">
        <v>2</v>
      </c>
      <c r="F53" s="108">
        <v>3</v>
      </c>
      <c r="G53" s="108">
        <v>4</v>
      </c>
      <c r="H53" s="108" t="s">
        <v>132</v>
      </c>
    </row>
    <row r="54" spans="1:8" x14ac:dyDescent="0.25">
      <c r="A54" s="44">
        <v>9</v>
      </c>
      <c r="B54" s="44"/>
      <c r="C54" s="44"/>
      <c r="D54" s="44" t="s">
        <v>91</v>
      </c>
      <c r="E54" s="44"/>
      <c r="F54" s="45"/>
      <c r="G54" s="45"/>
      <c r="H54" s="139"/>
    </row>
    <row r="55" spans="1:8" x14ac:dyDescent="0.25">
      <c r="A55" s="37"/>
      <c r="B55" s="38">
        <v>92</v>
      </c>
      <c r="C55" s="38"/>
      <c r="D55" s="38" t="s">
        <v>92</v>
      </c>
      <c r="E55" s="38"/>
      <c r="F55" s="58">
        <f>SUM(F56:F62)</f>
        <v>7462.29</v>
      </c>
      <c r="G55" s="58">
        <f>SUM(G56:G62)</f>
        <v>0</v>
      </c>
      <c r="H55" s="134">
        <f>(G55/F55)*100</f>
        <v>0</v>
      </c>
    </row>
    <row r="56" spans="1:8" x14ac:dyDescent="0.25">
      <c r="A56" s="12"/>
      <c r="B56" s="12"/>
      <c r="C56" s="13">
        <v>11</v>
      </c>
      <c r="D56" s="13" t="s">
        <v>17</v>
      </c>
      <c r="E56" s="13"/>
      <c r="F56" s="55">
        <v>1047.18</v>
      </c>
      <c r="G56" s="55"/>
      <c r="H56" s="136">
        <f>(G56/F56)*100</f>
        <v>0</v>
      </c>
    </row>
    <row r="57" spans="1:8" x14ac:dyDescent="0.25">
      <c r="A57" s="12"/>
      <c r="B57" s="12"/>
      <c r="C57" s="13">
        <v>6103</v>
      </c>
      <c r="D57" s="13" t="s">
        <v>53</v>
      </c>
      <c r="E57" s="13"/>
      <c r="F57" s="55">
        <v>53.09</v>
      </c>
      <c r="G57" s="55"/>
      <c r="H57" s="136">
        <f t="shared" ref="H57:H62" si="3">(G57/F57)*100</f>
        <v>0</v>
      </c>
    </row>
    <row r="58" spans="1:8" x14ac:dyDescent="0.25">
      <c r="A58" s="12"/>
      <c r="B58" s="12"/>
      <c r="C58" s="13">
        <v>57</v>
      </c>
      <c r="D58" s="13" t="s">
        <v>209</v>
      </c>
      <c r="E58" s="13"/>
      <c r="F58" s="55">
        <v>668.53</v>
      </c>
      <c r="G58" s="55"/>
      <c r="H58" s="136">
        <f t="shared" si="3"/>
        <v>0</v>
      </c>
    </row>
    <row r="59" spans="1:8" x14ac:dyDescent="0.25">
      <c r="A59" s="12"/>
      <c r="B59" s="12"/>
      <c r="C59" s="13">
        <v>5402</v>
      </c>
      <c r="D59" s="13" t="s">
        <v>210</v>
      </c>
      <c r="E59" s="13"/>
      <c r="F59" s="55">
        <v>3788.35</v>
      </c>
      <c r="G59" s="55"/>
      <c r="H59" s="136">
        <f t="shared" si="3"/>
        <v>0</v>
      </c>
    </row>
    <row r="60" spans="1:8" x14ac:dyDescent="0.25">
      <c r="A60" s="12"/>
      <c r="B60" s="12"/>
      <c r="C60" s="13">
        <v>57</v>
      </c>
      <c r="D60" s="13" t="s">
        <v>51</v>
      </c>
      <c r="E60" s="13"/>
      <c r="F60" s="55">
        <v>77.78</v>
      </c>
      <c r="G60" s="55"/>
      <c r="H60" s="136">
        <f t="shared" si="3"/>
        <v>0</v>
      </c>
    </row>
    <row r="61" spans="1:8" x14ac:dyDescent="0.25">
      <c r="A61" s="12"/>
      <c r="B61" s="12"/>
      <c r="C61" s="13">
        <v>57</v>
      </c>
      <c r="D61" s="13" t="s">
        <v>211</v>
      </c>
      <c r="E61" s="13"/>
      <c r="F61" s="55">
        <v>87.02</v>
      </c>
      <c r="G61" s="55"/>
      <c r="H61" s="136">
        <f t="shared" si="3"/>
        <v>0</v>
      </c>
    </row>
    <row r="62" spans="1:8" x14ac:dyDescent="0.25">
      <c r="A62" s="12"/>
      <c r="B62" s="12"/>
      <c r="C62" s="13">
        <v>5402</v>
      </c>
      <c r="D62" s="13" t="s">
        <v>212</v>
      </c>
      <c r="E62" s="13"/>
      <c r="F62" s="55">
        <v>1740.34</v>
      </c>
      <c r="G62" s="10"/>
      <c r="H62" s="136">
        <f t="shared" si="3"/>
        <v>0</v>
      </c>
    </row>
    <row r="63" spans="1:8" s="120" customFormat="1" x14ac:dyDescent="0.25">
      <c r="A63" s="173"/>
      <c r="B63" s="173"/>
      <c r="C63" s="174"/>
      <c r="D63" s="174"/>
      <c r="E63" s="174"/>
      <c r="F63" s="175"/>
      <c r="G63" s="175"/>
      <c r="H63" s="176"/>
    </row>
    <row r="64" spans="1:8" ht="15.75" customHeight="1" x14ac:dyDescent="0.25">
      <c r="A64" s="207" t="s">
        <v>94</v>
      </c>
      <c r="B64" s="228"/>
      <c r="C64" s="228"/>
      <c r="D64" s="228"/>
      <c r="E64" s="228"/>
      <c r="F64" s="228"/>
      <c r="G64" s="228"/>
      <c r="H64" s="228"/>
    </row>
    <row r="65" spans="1:9" x14ac:dyDescent="0.25">
      <c r="A65" s="52"/>
      <c r="B65" s="52"/>
      <c r="C65" s="53"/>
      <c r="D65" s="53"/>
      <c r="E65" s="53"/>
      <c r="F65" s="54"/>
      <c r="G65" s="54"/>
      <c r="H65" s="138" t="s">
        <v>54</v>
      </c>
    </row>
    <row r="66" spans="1:9" ht="38.25" x14ac:dyDescent="0.25">
      <c r="A66" s="20" t="s">
        <v>13</v>
      </c>
      <c r="B66" s="19" t="s">
        <v>14</v>
      </c>
      <c r="C66" s="19" t="s">
        <v>15</v>
      </c>
      <c r="D66" s="19" t="s">
        <v>133</v>
      </c>
      <c r="E66" s="19" t="s">
        <v>128</v>
      </c>
      <c r="F66" s="20" t="s">
        <v>129</v>
      </c>
      <c r="G66" s="20" t="s">
        <v>130</v>
      </c>
      <c r="H66" s="20" t="s">
        <v>131</v>
      </c>
    </row>
    <row r="67" spans="1:9" x14ac:dyDescent="0.25">
      <c r="A67" s="225">
        <v>1</v>
      </c>
      <c r="B67" s="226"/>
      <c r="C67" s="226"/>
      <c r="D67" s="227"/>
      <c r="E67" s="163">
        <v>2</v>
      </c>
      <c r="F67" s="108">
        <v>3</v>
      </c>
      <c r="G67" s="108">
        <v>4</v>
      </c>
      <c r="H67" s="108" t="s">
        <v>132</v>
      </c>
    </row>
    <row r="68" spans="1:9" x14ac:dyDescent="0.25">
      <c r="A68" s="44">
        <v>9</v>
      </c>
      <c r="B68" s="44"/>
      <c r="C68" s="44"/>
      <c r="D68" s="44" t="s">
        <v>91</v>
      </c>
      <c r="E68" s="44"/>
      <c r="F68" s="45"/>
      <c r="G68" s="45"/>
      <c r="H68" s="139"/>
    </row>
    <row r="69" spans="1:9" x14ac:dyDescent="0.25">
      <c r="A69" s="37"/>
      <c r="B69" s="38">
        <v>92</v>
      </c>
      <c r="C69" s="38"/>
      <c r="D69" s="38" t="s">
        <v>208</v>
      </c>
      <c r="E69" s="38"/>
      <c r="F69" s="58">
        <f>SUM(F70:F75)</f>
        <v>28861.430000000004</v>
      </c>
      <c r="G69" s="58">
        <f>SUM(G70:G75)</f>
        <v>24142.840000000004</v>
      </c>
      <c r="H69" s="134">
        <f>(G69/F69)*100</f>
        <v>83.650879391630966</v>
      </c>
    </row>
    <row r="70" spans="1:9" x14ac:dyDescent="0.25">
      <c r="A70" s="12"/>
      <c r="B70" s="12"/>
      <c r="C70" s="13">
        <v>9231</v>
      </c>
      <c r="D70" s="13" t="s">
        <v>88</v>
      </c>
      <c r="E70" s="13"/>
      <c r="F70" s="55">
        <f>2123.45+1388</f>
        <v>3511.45</v>
      </c>
      <c r="G70" s="55">
        <f>2123.45+1388</f>
        <v>3511.45</v>
      </c>
      <c r="H70" s="136">
        <f>(G70/F70)*100</f>
        <v>100</v>
      </c>
    </row>
    <row r="71" spans="1:9" x14ac:dyDescent="0.25">
      <c r="A71" s="12"/>
      <c r="B71" s="12"/>
      <c r="C71" s="13">
        <v>9241</v>
      </c>
      <c r="D71" s="13" t="s">
        <v>50</v>
      </c>
      <c r="E71" s="13"/>
      <c r="F71" s="55">
        <f>1016.21+12.9+6008.93</f>
        <v>7038.0400000000009</v>
      </c>
      <c r="G71" s="55">
        <f>1016.21+12.9+6008.93</f>
        <v>7038.0400000000009</v>
      </c>
      <c r="H71" s="136">
        <f t="shared" ref="H71:H75" si="4">(G71/F71)*100</f>
        <v>100</v>
      </c>
    </row>
    <row r="72" spans="1:9" x14ac:dyDescent="0.25">
      <c r="A72" s="12"/>
      <c r="B72" s="12"/>
      <c r="C72" s="13">
        <v>92530</v>
      </c>
      <c r="D72" s="13" t="s">
        <v>55</v>
      </c>
      <c r="E72" s="13"/>
      <c r="F72" s="55">
        <f>12664.29</f>
        <v>12664.29</v>
      </c>
      <c r="G72" s="55">
        <f>12664.29</f>
        <v>12664.29</v>
      </c>
      <c r="H72" s="136">
        <f t="shared" si="4"/>
        <v>100</v>
      </c>
    </row>
    <row r="73" spans="1:9" x14ac:dyDescent="0.25">
      <c r="A73" s="12"/>
      <c r="B73" s="12"/>
      <c r="C73" s="13">
        <v>925401</v>
      </c>
      <c r="D73" s="13" t="s">
        <v>123</v>
      </c>
      <c r="E73" s="13"/>
      <c r="F73" s="55">
        <v>4718.59</v>
      </c>
      <c r="G73" s="55">
        <v>0</v>
      </c>
      <c r="H73" s="136">
        <f t="shared" si="4"/>
        <v>0</v>
      </c>
    </row>
    <row r="74" spans="1:9" x14ac:dyDescent="0.25">
      <c r="A74" s="12"/>
      <c r="B74" s="12"/>
      <c r="C74" s="13">
        <v>9257</v>
      </c>
      <c r="D74" s="13" t="s">
        <v>51</v>
      </c>
      <c r="E74" s="13"/>
      <c r="F74" s="55">
        <f>663.61</f>
        <v>663.61</v>
      </c>
      <c r="G74" s="55">
        <f>663.61</f>
        <v>663.61</v>
      </c>
      <c r="H74" s="136">
        <f t="shared" si="4"/>
        <v>100</v>
      </c>
    </row>
    <row r="75" spans="1:9" x14ac:dyDescent="0.25">
      <c r="A75" s="12"/>
      <c r="B75" s="12"/>
      <c r="C75" s="13">
        <v>926103</v>
      </c>
      <c r="D75" s="13" t="s">
        <v>53</v>
      </c>
      <c r="E75" s="13"/>
      <c r="F75" s="55">
        <f>265.45</f>
        <v>265.45</v>
      </c>
      <c r="G75" s="55">
        <f>265.45</f>
        <v>265.45</v>
      </c>
      <c r="H75" s="136">
        <f t="shared" si="4"/>
        <v>100</v>
      </c>
    </row>
    <row r="76" spans="1:9" x14ac:dyDescent="0.25">
      <c r="A76" s="12"/>
      <c r="B76" s="12"/>
      <c r="C76" s="13"/>
      <c r="D76" s="13"/>
      <c r="E76" s="13"/>
      <c r="F76" s="10"/>
      <c r="G76" s="10"/>
      <c r="H76" s="140"/>
    </row>
    <row r="77" spans="1:9" s="120" customFormat="1" x14ac:dyDescent="0.25">
      <c r="A77" s="173"/>
      <c r="B77" s="173"/>
      <c r="C77" s="174"/>
      <c r="D77" s="174"/>
      <c r="E77" s="174"/>
      <c r="F77" s="175"/>
      <c r="G77" s="175"/>
      <c r="H77" s="176"/>
    </row>
    <row r="78" spans="1:9" ht="15.75" x14ac:dyDescent="0.25">
      <c r="A78" s="207" t="s">
        <v>18</v>
      </c>
      <c r="B78" s="228"/>
      <c r="C78" s="228"/>
      <c r="D78" s="228"/>
      <c r="E78" s="228"/>
      <c r="F78" s="228"/>
      <c r="G78" s="228"/>
      <c r="H78" s="228"/>
    </row>
    <row r="79" spans="1:9" ht="18" x14ac:dyDescent="0.25">
      <c r="A79" s="5"/>
      <c r="B79" s="5"/>
      <c r="C79" s="5"/>
      <c r="D79" s="5"/>
      <c r="E79" s="24"/>
      <c r="F79" s="62">
        <f>F82+F264</f>
        <v>3528354.2199999997</v>
      </c>
      <c r="G79" s="62">
        <f>G82+G264</f>
        <v>3382423.5699999994</v>
      </c>
      <c r="H79" s="62">
        <f>H82+H264</f>
        <v>0</v>
      </c>
      <c r="I79" s="49" t="s">
        <v>54</v>
      </c>
    </row>
    <row r="80" spans="1:9" ht="38.25" x14ac:dyDescent="0.25">
      <c r="A80" s="20" t="s">
        <v>13</v>
      </c>
      <c r="B80" s="19" t="s">
        <v>14</v>
      </c>
      <c r="C80" s="19" t="s">
        <v>15</v>
      </c>
      <c r="D80" s="19" t="s">
        <v>133</v>
      </c>
      <c r="E80" s="19" t="s">
        <v>128</v>
      </c>
      <c r="F80" s="20" t="s">
        <v>129</v>
      </c>
      <c r="G80" s="20" t="s">
        <v>130</v>
      </c>
      <c r="H80" s="20" t="s">
        <v>131</v>
      </c>
    </row>
    <row r="81" spans="1:12" x14ac:dyDescent="0.25">
      <c r="A81" s="225">
        <v>1</v>
      </c>
      <c r="B81" s="226"/>
      <c r="C81" s="226"/>
      <c r="D81" s="227"/>
      <c r="E81" s="107">
        <v>2</v>
      </c>
      <c r="F81" s="108">
        <v>3</v>
      </c>
      <c r="G81" s="108">
        <v>4</v>
      </c>
      <c r="H81" s="108" t="s">
        <v>132</v>
      </c>
    </row>
    <row r="82" spans="1:12" ht="15.75" customHeight="1" x14ac:dyDescent="0.25">
      <c r="A82" s="44">
        <v>3</v>
      </c>
      <c r="B82" s="44"/>
      <c r="C82" s="44"/>
      <c r="D82" s="44" t="s">
        <v>19</v>
      </c>
      <c r="E82" s="44"/>
      <c r="F82" s="61">
        <f>F83+F119+F231+F246+F261</f>
        <v>3446358.82</v>
      </c>
      <c r="G82" s="61">
        <f>G83+G119+G231+G246+G261</f>
        <v>3303873.4699999993</v>
      </c>
      <c r="H82" s="141"/>
      <c r="L82" s="152"/>
    </row>
    <row r="83" spans="1:12" ht="15.75" customHeight="1" x14ac:dyDescent="0.25">
      <c r="A83" s="37"/>
      <c r="B83" s="38">
        <v>31</v>
      </c>
      <c r="C83" s="38"/>
      <c r="D83" s="38" t="s">
        <v>20</v>
      </c>
      <c r="E83" s="38"/>
      <c r="F83" s="58">
        <f>F84+F91+F92+F93+F103+F106+F111+F118+F98</f>
        <v>2713146.64</v>
      </c>
      <c r="G83" s="58">
        <f>G84+G91+G92+G93+G103+G106+G111+G118+G98</f>
        <v>2672968.6099999994</v>
      </c>
      <c r="H83" s="134">
        <f>(G83/F83)*100</f>
        <v>98.519135331365632</v>
      </c>
    </row>
    <row r="84" spans="1:12" s="120" customFormat="1" x14ac:dyDescent="0.25">
      <c r="A84" s="118"/>
      <c r="B84" s="118"/>
      <c r="C84" s="115">
        <v>11</v>
      </c>
      <c r="D84" s="115" t="s">
        <v>17</v>
      </c>
      <c r="E84" s="115"/>
      <c r="F84" s="119">
        <f>119520+17100+24671.78+19915.64</f>
        <v>181207.41999999998</v>
      </c>
      <c r="G84" s="119">
        <f>G85+G87+G89</f>
        <v>160766.16</v>
      </c>
      <c r="H84" s="137">
        <f>(G84/F84)*100</f>
        <v>88.719413366185563</v>
      </c>
    </row>
    <row r="85" spans="1:12" x14ac:dyDescent="0.25">
      <c r="A85" s="12"/>
      <c r="B85" s="25">
        <v>311</v>
      </c>
      <c r="C85" s="13"/>
      <c r="D85" s="128" t="s">
        <v>155</v>
      </c>
      <c r="E85" s="13"/>
      <c r="F85" s="55"/>
      <c r="G85" s="121">
        <f>G86</f>
        <v>127847.58</v>
      </c>
      <c r="H85" s="136"/>
    </row>
    <row r="86" spans="1:12" x14ac:dyDescent="0.25">
      <c r="A86" s="12"/>
      <c r="B86" s="12">
        <v>3111</v>
      </c>
      <c r="C86" s="13"/>
      <c r="D86" s="128" t="s">
        <v>156</v>
      </c>
      <c r="E86" s="13"/>
      <c r="F86" s="55"/>
      <c r="G86" s="55">
        <f>99401.73+6220.41+22225.44</f>
        <v>127847.58</v>
      </c>
      <c r="H86" s="136"/>
    </row>
    <row r="87" spans="1:12" x14ac:dyDescent="0.25">
      <c r="A87" s="12"/>
      <c r="B87" s="25">
        <v>312</v>
      </c>
      <c r="C87" s="13"/>
      <c r="D87" s="128" t="s">
        <v>157</v>
      </c>
      <c r="E87" s="13"/>
      <c r="F87" s="55"/>
      <c r="G87" s="121">
        <f>G88</f>
        <v>14099.08</v>
      </c>
      <c r="H87" s="136"/>
    </row>
    <row r="88" spans="1:12" x14ac:dyDescent="0.25">
      <c r="A88" s="12"/>
      <c r="B88" s="12">
        <v>3121</v>
      </c>
      <c r="C88" s="13"/>
      <c r="D88" s="128" t="s">
        <v>157</v>
      </c>
      <c r="E88" s="13"/>
      <c r="F88" s="55"/>
      <c r="G88" s="55">
        <f>3699.08+9800+600</f>
        <v>14099.08</v>
      </c>
      <c r="H88" s="136"/>
    </row>
    <row r="89" spans="1:12" x14ac:dyDescent="0.25">
      <c r="A89" s="12"/>
      <c r="B89" s="25">
        <v>313</v>
      </c>
      <c r="C89" s="13"/>
      <c r="D89" s="128" t="s">
        <v>158</v>
      </c>
      <c r="E89" s="13"/>
      <c r="F89" s="55"/>
      <c r="G89" s="121">
        <f>G90</f>
        <v>18819.5</v>
      </c>
      <c r="H89" s="136"/>
    </row>
    <row r="90" spans="1:12" ht="22.5" x14ac:dyDescent="0.25">
      <c r="A90" s="12"/>
      <c r="B90" s="12">
        <v>3132</v>
      </c>
      <c r="C90" s="13"/>
      <c r="D90" s="128" t="s">
        <v>159</v>
      </c>
      <c r="E90" s="13"/>
      <c r="F90" s="55"/>
      <c r="G90" s="55">
        <f>16401.23+1067.56+1350.71</f>
        <v>18819.5</v>
      </c>
      <c r="H90" s="136"/>
    </row>
    <row r="91" spans="1:12" s="120" customFormat="1" x14ac:dyDescent="0.25">
      <c r="A91" s="118"/>
      <c r="B91" s="118"/>
      <c r="C91" s="115">
        <v>31</v>
      </c>
      <c r="D91" s="115" t="s">
        <v>88</v>
      </c>
      <c r="E91" s="115"/>
      <c r="F91" s="119">
        <v>331.82</v>
      </c>
      <c r="G91" s="119">
        <v>0</v>
      </c>
      <c r="H91" s="137">
        <f>(G91/F91)*100</f>
        <v>0</v>
      </c>
    </row>
    <row r="92" spans="1:12" s="120" customFormat="1" x14ac:dyDescent="0.25">
      <c r="A92" s="118"/>
      <c r="B92" s="118"/>
      <c r="C92" s="115">
        <v>9231</v>
      </c>
      <c r="D92" s="115" t="s">
        <v>93</v>
      </c>
      <c r="E92" s="115"/>
      <c r="F92" s="119"/>
      <c r="G92" s="119">
        <v>0</v>
      </c>
      <c r="H92" s="137" t="e">
        <f t="shared" ref="H92:H93" si="5">(G92/F92)*100</f>
        <v>#DIV/0!</v>
      </c>
    </row>
    <row r="93" spans="1:12" s="120" customFormat="1" x14ac:dyDescent="0.25">
      <c r="A93" s="118"/>
      <c r="B93" s="118"/>
      <c r="C93" s="115">
        <v>41</v>
      </c>
      <c r="D93" s="115" t="s">
        <v>50</v>
      </c>
      <c r="E93" s="115"/>
      <c r="F93" s="119">
        <v>3000</v>
      </c>
      <c r="G93" s="119">
        <f>G94+G96</f>
        <v>1706.65</v>
      </c>
      <c r="H93" s="137">
        <f t="shared" si="5"/>
        <v>56.888333333333343</v>
      </c>
    </row>
    <row r="94" spans="1:12" x14ac:dyDescent="0.25">
      <c r="A94" s="12"/>
      <c r="B94" s="25">
        <v>311</v>
      </c>
      <c r="C94" s="13"/>
      <c r="D94" s="128" t="s">
        <v>155</v>
      </c>
      <c r="E94" s="13"/>
      <c r="F94" s="55"/>
      <c r="G94" s="121">
        <f>G95</f>
        <v>1464.93</v>
      </c>
      <c r="H94" s="142"/>
    </row>
    <row r="95" spans="1:12" x14ac:dyDescent="0.25">
      <c r="A95" s="12"/>
      <c r="B95" s="12">
        <v>3111</v>
      </c>
      <c r="C95" s="13"/>
      <c r="D95" s="128" t="s">
        <v>156</v>
      </c>
      <c r="E95" s="13"/>
      <c r="F95" s="55"/>
      <c r="G95" s="55">
        <f>1464.93</f>
        <v>1464.93</v>
      </c>
      <c r="H95" s="142"/>
    </row>
    <row r="96" spans="1:12" x14ac:dyDescent="0.25">
      <c r="A96" s="12"/>
      <c r="B96" s="25">
        <v>313</v>
      </c>
      <c r="C96" s="13"/>
      <c r="D96" s="128" t="s">
        <v>158</v>
      </c>
      <c r="E96" s="13"/>
      <c r="F96" s="55"/>
      <c r="G96" s="121">
        <f>G97</f>
        <v>241.72</v>
      </c>
      <c r="H96" s="142"/>
    </row>
    <row r="97" spans="1:8" ht="22.5" x14ac:dyDescent="0.25">
      <c r="A97" s="12"/>
      <c r="B97" s="12">
        <v>3132</v>
      </c>
      <c r="C97" s="13"/>
      <c r="D97" s="128" t="s">
        <v>159</v>
      </c>
      <c r="E97" s="13"/>
      <c r="F97" s="55"/>
      <c r="G97" s="55">
        <f>241.72</f>
        <v>241.72</v>
      </c>
      <c r="H97" s="142"/>
    </row>
    <row r="98" spans="1:8" s="120" customFormat="1" x14ac:dyDescent="0.25">
      <c r="A98" s="118"/>
      <c r="B98" s="118"/>
      <c r="C98" s="115">
        <v>53</v>
      </c>
      <c r="D98" s="115" t="s">
        <v>55</v>
      </c>
      <c r="E98" s="115"/>
      <c r="F98" s="119">
        <v>19795.080000000002</v>
      </c>
      <c r="G98" s="119">
        <f>G99+G101</f>
        <v>2849.3</v>
      </c>
      <c r="H98" s="143">
        <f>(G98/F98)*100</f>
        <v>14.393980726523964</v>
      </c>
    </row>
    <row r="99" spans="1:8" s="120" customFormat="1" x14ac:dyDescent="0.25">
      <c r="A99" s="118"/>
      <c r="B99" s="25">
        <v>311</v>
      </c>
      <c r="C99" s="13"/>
      <c r="D99" s="128" t="s">
        <v>155</v>
      </c>
      <c r="E99" s="180"/>
      <c r="F99" s="150"/>
      <c r="G99" s="151">
        <f>G100</f>
        <v>2445.75</v>
      </c>
      <c r="H99" s="143"/>
    </row>
    <row r="100" spans="1:8" x14ac:dyDescent="0.25">
      <c r="A100" s="12"/>
      <c r="B100" s="12">
        <v>3111</v>
      </c>
      <c r="C100" s="13"/>
      <c r="D100" s="128" t="s">
        <v>156</v>
      </c>
      <c r="E100" s="180"/>
      <c r="F100" s="150"/>
      <c r="G100" s="150">
        <v>2445.75</v>
      </c>
      <c r="H100" s="142"/>
    </row>
    <row r="101" spans="1:8" x14ac:dyDescent="0.25">
      <c r="A101" s="12"/>
      <c r="B101" s="25">
        <v>313</v>
      </c>
      <c r="C101" s="13"/>
      <c r="D101" s="128" t="s">
        <v>158</v>
      </c>
      <c r="E101" s="180"/>
      <c r="F101" s="150"/>
      <c r="G101" s="151">
        <f>G102</f>
        <v>403.55</v>
      </c>
      <c r="H101" s="142"/>
    </row>
    <row r="102" spans="1:8" ht="22.5" x14ac:dyDescent="0.25">
      <c r="A102" s="12"/>
      <c r="B102" s="12">
        <v>3132</v>
      </c>
      <c r="C102" s="13"/>
      <c r="D102" s="128" t="s">
        <v>159</v>
      </c>
      <c r="E102" s="180"/>
      <c r="F102" s="150"/>
      <c r="G102" s="150">
        <v>403.55</v>
      </c>
      <c r="H102" s="142"/>
    </row>
    <row r="103" spans="1:8" s="120" customFormat="1" x14ac:dyDescent="0.25">
      <c r="A103" s="118"/>
      <c r="B103" s="118"/>
      <c r="C103" s="115">
        <v>92530</v>
      </c>
      <c r="D103" s="115" t="s">
        <v>97</v>
      </c>
      <c r="E103" s="115"/>
      <c r="F103" s="119">
        <v>11804.25</v>
      </c>
      <c r="G103" s="119">
        <f>G104</f>
        <v>11804.25</v>
      </c>
      <c r="H103" s="143">
        <f>(G103/F103)*100</f>
        <v>100</v>
      </c>
    </row>
    <row r="104" spans="1:8" x14ac:dyDescent="0.25">
      <c r="A104" s="12"/>
      <c r="B104" s="25">
        <v>311</v>
      </c>
      <c r="C104" s="13"/>
      <c r="D104" s="128" t="s">
        <v>155</v>
      </c>
      <c r="E104" s="13"/>
      <c r="F104" s="55"/>
      <c r="G104" s="121">
        <f>G105</f>
        <v>11804.25</v>
      </c>
      <c r="H104" s="143"/>
    </row>
    <row r="105" spans="1:8" x14ac:dyDescent="0.25">
      <c r="A105" s="12"/>
      <c r="B105" s="12">
        <v>3111</v>
      </c>
      <c r="C105" s="13"/>
      <c r="D105" s="128" t="s">
        <v>156</v>
      </c>
      <c r="E105" s="13"/>
      <c r="F105" s="55"/>
      <c r="G105" s="55">
        <v>11804.25</v>
      </c>
      <c r="H105" s="143"/>
    </row>
    <row r="106" spans="1:8" s="120" customFormat="1" x14ac:dyDescent="0.25">
      <c r="A106" s="118"/>
      <c r="B106" s="118"/>
      <c r="C106" s="115">
        <v>5402</v>
      </c>
      <c r="D106" s="115" t="s">
        <v>56</v>
      </c>
      <c r="E106" s="115"/>
      <c r="F106" s="119">
        <v>79000</v>
      </c>
      <c r="G106" s="119">
        <f>G107+G109</f>
        <v>78926.570000000007</v>
      </c>
      <c r="H106" s="143">
        <f t="shared" ref="H106:H118" si="6">(G106/F106)*100</f>
        <v>99.907050632911393</v>
      </c>
    </row>
    <row r="107" spans="1:8" x14ac:dyDescent="0.25">
      <c r="A107" s="12"/>
      <c r="B107" s="25">
        <v>311</v>
      </c>
      <c r="C107" s="13"/>
      <c r="D107" s="128" t="s">
        <v>155</v>
      </c>
      <c r="E107" s="13"/>
      <c r="F107" s="55"/>
      <c r="G107" s="121">
        <f>G108</f>
        <v>67426.570000000007</v>
      </c>
      <c r="H107" s="143"/>
    </row>
    <row r="108" spans="1:8" x14ac:dyDescent="0.25">
      <c r="A108" s="12"/>
      <c r="B108" s="12">
        <v>3111</v>
      </c>
      <c r="C108" s="13"/>
      <c r="D108" s="128" t="s">
        <v>156</v>
      </c>
      <c r="E108" s="13"/>
      <c r="F108" s="55"/>
      <c r="G108" s="55">
        <f>67426.57</f>
        <v>67426.570000000007</v>
      </c>
      <c r="H108" s="143"/>
    </row>
    <row r="109" spans="1:8" x14ac:dyDescent="0.25">
      <c r="A109" s="12"/>
      <c r="B109" s="25">
        <v>313</v>
      </c>
      <c r="C109" s="13"/>
      <c r="D109" s="128" t="s">
        <v>158</v>
      </c>
      <c r="E109" s="13"/>
      <c r="F109" s="55"/>
      <c r="G109" s="121">
        <f>G110</f>
        <v>11500</v>
      </c>
      <c r="H109" s="143"/>
    </row>
    <row r="110" spans="1:8" ht="22.5" x14ac:dyDescent="0.25">
      <c r="A110" s="12"/>
      <c r="B110" s="12">
        <v>3132</v>
      </c>
      <c r="C110" s="13"/>
      <c r="D110" s="128" t="s">
        <v>159</v>
      </c>
      <c r="E110" s="13"/>
      <c r="F110" s="55"/>
      <c r="G110" s="55">
        <f>11500</f>
        <v>11500</v>
      </c>
      <c r="H110" s="143"/>
    </row>
    <row r="111" spans="1:8" s="120" customFormat="1" x14ac:dyDescent="0.25">
      <c r="A111" s="118"/>
      <c r="B111" s="118"/>
      <c r="C111" s="115">
        <v>57</v>
      </c>
      <c r="D111" s="115" t="s">
        <v>51</v>
      </c>
      <c r="E111" s="115"/>
      <c r="F111" s="119">
        <f>2404077.18+13400</f>
        <v>2417477.1800000002</v>
      </c>
      <c r="G111" s="119">
        <f>G112+G114+G116</f>
        <v>2416915.6799999997</v>
      </c>
      <c r="H111" s="143">
        <f t="shared" si="6"/>
        <v>99.976773307121746</v>
      </c>
    </row>
    <row r="112" spans="1:8" x14ac:dyDescent="0.25">
      <c r="A112" s="12"/>
      <c r="B112" s="25">
        <v>311</v>
      </c>
      <c r="C112" s="13"/>
      <c r="D112" s="128" t="s">
        <v>155</v>
      </c>
      <c r="E112" s="13"/>
      <c r="F112" s="55"/>
      <c r="G112" s="121">
        <f>G113</f>
        <v>2006232.52</v>
      </c>
      <c r="H112" s="143"/>
    </row>
    <row r="113" spans="1:8" x14ac:dyDescent="0.25">
      <c r="A113" s="12"/>
      <c r="B113" s="12">
        <v>3111</v>
      </c>
      <c r="C113" s="13"/>
      <c r="D113" s="128" t="s">
        <v>156</v>
      </c>
      <c r="E113" s="13"/>
      <c r="F113" s="55"/>
      <c r="G113" s="55">
        <f>1994412.46+11820.06</f>
        <v>2006232.52</v>
      </c>
      <c r="H113" s="143"/>
    </row>
    <row r="114" spans="1:8" x14ac:dyDescent="0.25">
      <c r="A114" s="12"/>
      <c r="B114" s="25">
        <v>312</v>
      </c>
      <c r="C114" s="13"/>
      <c r="D114" s="128" t="s">
        <v>157</v>
      </c>
      <c r="E114" s="13"/>
      <c r="F114" s="55"/>
      <c r="G114" s="121">
        <f>G115</f>
        <v>88062.189999999988</v>
      </c>
      <c r="H114" s="143"/>
    </row>
    <row r="115" spans="1:8" x14ac:dyDescent="0.25">
      <c r="A115" s="12"/>
      <c r="B115" s="12">
        <v>3121</v>
      </c>
      <c r="C115" s="13"/>
      <c r="D115" s="128" t="s">
        <v>157</v>
      </c>
      <c r="E115" s="13"/>
      <c r="F115" s="55"/>
      <c r="G115" s="55">
        <f>87890.18+172.01</f>
        <v>88062.189999999988</v>
      </c>
      <c r="H115" s="143"/>
    </row>
    <row r="116" spans="1:8" x14ac:dyDescent="0.25">
      <c r="A116" s="12"/>
      <c r="B116" s="25">
        <v>313</v>
      </c>
      <c r="C116" s="13"/>
      <c r="D116" s="128" t="s">
        <v>158</v>
      </c>
      <c r="E116" s="13"/>
      <c r="F116" s="55"/>
      <c r="G116" s="121">
        <f>G117</f>
        <v>322620.96999999997</v>
      </c>
      <c r="H116" s="143"/>
    </row>
    <row r="117" spans="1:8" ht="22.5" x14ac:dyDescent="0.25">
      <c r="A117" s="12"/>
      <c r="B117" s="12">
        <v>3132</v>
      </c>
      <c r="C117" s="13"/>
      <c r="D117" s="128" t="s">
        <v>159</v>
      </c>
      <c r="E117" s="13"/>
      <c r="F117" s="55"/>
      <c r="G117" s="55">
        <f>321086.5+1534.47</f>
        <v>322620.96999999997</v>
      </c>
      <c r="H117" s="143"/>
    </row>
    <row r="118" spans="1:8" s="120" customFormat="1" x14ac:dyDescent="0.25">
      <c r="A118" s="118"/>
      <c r="B118" s="118"/>
      <c r="C118" s="115">
        <v>6103</v>
      </c>
      <c r="D118" s="115" t="s">
        <v>53</v>
      </c>
      <c r="E118" s="115"/>
      <c r="F118" s="119">
        <v>530.89</v>
      </c>
      <c r="G118" s="119">
        <v>0</v>
      </c>
      <c r="H118" s="143">
        <f t="shared" si="6"/>
        <v>0</v>
      </c>
    </row>
    <row r="119" spans="1:8" x14ac:dyDescent="0.25">
      <c r="A119" s="39"/>
      <c r="B119" s="39">
        <v>32</v>
      </c>
      <c r="C119" s="40"/>
      <c r="D119" s="39" t="s">
        <v>29</v>
      </c>
      <c r="E119" s="39"/>
      <c r="F119" s="58">
        <f>F120+F146+F149+F163+F179+F188+F191+F196+F197+F213+F219+F228+F185</f>
        <v>596214.48999999987</v>
      </c>
      <c r="G119" s="58">
        <f>G120+G146+G149+G163+G179+G188+G191+G196+G197+G213+G219+G228+G185</f>
        <v>527710.38000000012</v>
      </c>
      <c r="H119" s="134">
        <f>(G119/F119)*100</f>
        <v>88.510156806152125</v>
      </c>
    </row>
    <row r="120" spans="1:8" s="120" customFormat="1" x14ac:dyDescent="0.25">
      <c r="A120" s="118"/>
      <c r="B120" s="118"/>
      <c r="C120" s="115">
        <v>11</v>
      </c>
      <c r="D120" s="115" t="s">
        <v>17</v>
      </c>
      <c r="E120" s="115"/>
      <c r="F120" s="119">
        <f>173150.24+2189.92+1280+7000+848.31+430+262.79</f>
        <v>185161.26</v>
      </c>
      <c r="G120" s="119">
        <f>G121+G126+G133+G141</f>
        <v>182732.83</v>
      </c>
      <c r="H120" s="137">
        <f>(G120/F120)*100</f>
        <v>98.688478356649753</v>
      </c>
    </row>
    <row r="121" spans="1:8" x14ac:dyDescent="0.25">
      <c r="A121" s="12"/>
      <c r="B121" s="25">
        <v>321</v>
      </c>
      <c r="C121" s="13"/>
      <c r="D121" s="128" t="s">
        <v>160</v>
      </c>
      <c r="E121" s="13"/>
      <c r="F121" s="55"/>
      <c r="G121" s="121">
        <f>SUM(G122:G125)</f>
        <v>13975.57</v>
      </c>
      <c r="H121" s="137"/>
    </row>
    <row r="122" spans="1:8" x14ac:dyDescent="0.25">
      <c r="A122" s="12"/>
      <c r="B122" s="12">
        <v>3211</v>
      </c>
      <c r="C122" s="13"/>
      <c r="D122" s="128" t="s">
        <v>161</v>
      </c>
      <c r="E122" s="13"/>
      <c r="F122" s="55"/>
      <c r="G122" s="55">
        <f>7974+1280+602.31</f>
        <v>9856.31</v>
      </c>
      <c r="H122" s="137"/>
    </row>
    <row r="123" spans="1:8" ht="22.5" x14ac:dyDescent="0.25">
      <c r="A123" s="12"/>
      <c r="B123" s="12">
        <v>3212</v>
      </c>
      <c r="C123" s="13"/>
      <c r="D123" s="128" t="s">
        <v>162</v>
      </c>
      <c r="E123" s="13"/>
      <c r="F123" s="55"/>
      <c r="G123" s="55">
        <f>1275.65+422.61</f>
        <v>1698.2600000000002</v>
      </c>
      <c r="H123" s="137"/>
    </row>
    <row r="124" spans="1:8" x14ac:dyDescent="0.25">
      <c r="A124" s="12"/>
      <c r="B124" s="12">
        <v>3213</v>
      </c>
      <c r="C124" s="13"/>
      <c r="D124" s="128" t="s">
        <v>163</v>
      </c>
      <c r="E124" s="13"/>
      <c r="F124" s="55"/>
      <c r="G124" s="55">
        <f>665</f>
        <v>665</v>
      </c>
      <c r="H124" s="137"/>
    </row>
    <row r="125" spans="1:8" ht="22.5" x14ac:dyDescent="0.25">
      <c r="A125" s="12"/>
      <c r="B125" s="12">
        <v>3214</v>
      </c>
      <c r="C125" s="13"/>
      <c r="D125" s="128" t="s">
        <v>164</v>
      </c>
      <c r="E125" s="13"/>
      <c r="F125" s="55"/>
      <c r="G125" s="55">
        <f>1756</f>
        <v>1756</v>
      </c>
      <c r="H125" s="137"/>
    </row>
    <row r="126" spans="1:8" x14ac:dyDescent="0.25">
      <c r="A126" s="12"/>
      <c r="B126" s="25">
        <v>322</v>
      </c>
      <c r="C126" s="13"/>
      <c r="D126" s="128" t="s">
        <v>165</v>
      </c>
      <c r="E126" s="13"/>
      <c r="F126" s="55"/>
      <c r="G126" s="121">
        <f>SUM(G127:G132)</f>
        <v>106989.13</v>
      </c>
      <c r="H126" s="137"/>
    </row>
    <row r="127" spans="1:8" ht="22.5" x14ac:dyDescent="0.25">
      <c r="A127" s="12"/>
      <c r="B127" s="12">
        <v>3221</v>
      </c>
      <c r="C127" s="13"/>
      <c r="D127" s="128" t="s">
        <v>166</v>
      </c>
      <c r="E127" s="13"/>
      <c r="F127" s="55"/>
      <c r="G127" s="55">
        <f>23812.86</f>
        <v>23812.86</v>
      </c>
      <c r="H127" s="137"/>
    </row>
    <row r="128" spans="1:8" x14ac:dyDescent="0.25">
      <c r="A128" s="12"/>
      <c r="B128" s="12">
        <v>3222</v>
      </c>
      <c r="C128" s="13"/>
      <c r="D128" s="128" t="s">
        <v>167</v>
      </c>
      <c r="E128" s="13"/>
      <c r="F128" s="55"/>
      <c r="G128" s="55">
        <f>3650.91</f>
        <v>3650.91</v>
      </c>
      <c r="H128" s="137"/>
    </row>
    <row r="129" spans="1:8" x14ac:dyDescent="0.25">
      <c r="A129" s="12"/>
      <c r="B129" s="12">
        <v>3223</v>
      </c>
      <c r="C129" s="13"/>
      <c r="D129" s="128" t="s">
        <v>168</v>
      </c>
      <c r="E129" s="13"/>
      <c r="F129" s="55"/>
      <c r="G129" s="55">
        <f>74997.05</f>
        <v>74997.05</v>
      </c>
      <c r="H129" s="137"/>
    </row>
    <row r="130" spans="1:8" x14ac:dyDescent="0.25">
      <c r="A130" s="12"/>
      <c r="B130" s="12">
        <v>3224</v>
      </c>
      <c r="C130" s="13"/>
      <c r="D130" s="128" t="s">
        <v>216</v>
      </c>
      <c r="E130" s="13"/>
      <c r="F130" s="55"/>
      <c r="G130" s="55">
        <f>638.34</f>
        <v>638.34</v>
      </c>
      <c r="H130" s="137"/>
    </row>
    <row r="131" spans="1:8" x14ac:dyDescent="0.25">
      <c r="A131" s="12"/>
      <c r="B131" s="12">
        <v>3225</v>
      </c>
      <c r="C131" s="13"/>
      <c r="D131" s="128" t="s">
        <v>169</v>
      </c>
      <c r="E131" s="13"/>
      <c r="F131" s="55"/>
      <c r="G131" s="55">
        <f>23+3268.51</f>
        <v>3291.51</v>
      </c>
      <c r="H131" s="137"/>
    </row>
    <row r="132" spans="1:8" ht="22.5" x14ac:dyDescent="0.25">
      <c r="A132" s="12"/>
      <c r="B132" s="12">
        <v>3227</v>
      </c>
      <c r="C132" s="13"/>
      <c r="D132" s="128" t="s">
        <v>204</v>
      </c>
      <c r="E132" s="13"/>
      <c r="F132" s="55"/>
      <c r="G132" s="55">
        <f>598.46</f>
        <v>598.46</v>
      </c>
      <c r="H132" s="137"/>
    </row>
    <row r="133" spans="1:8" x14ac:dyDescent="0.25">
      <c r="A133" s="12"/>
      <c r="B133" s="25">
        <v>323</v>
      </c>
      <c r="C133" s="13"/>
      <c r="D133" s="128" t="s">
        <v>170</v>
      </c>
      <c r="E133" s="13"/>
      <c r="F133" s="55"/>
      <c r="G133" s="121">
        <f>SUM(G134:G140)</f>
        <v>56577.67</v>
      </c>
      <c r="H133" s="137"/>
    </row>
    <row r="134" spans="1:8" x14ac:dyDescent="0.25">
      <c r="A134" s="12"/>
      <c r="B134" s="12">
        <v>3231</v>
      </c>
      <c r="C134" s="13"/>
      <c r="D134" s="128" t="s">
        <v>171</v>
      </c>
      <c r="E134" s="13"/>
      <c r="F134" s="55"/>
      <c r="G134" s="55">
        <f>4567.46</f>
        <v>4567.46</v>
      </c>
      <c r="H134" s="137"/>
    </row>
    <row r="135" spans="1:8" ht="22.5" x14ac:dyDescent="0.25">
      <c r="A135" s="12"/>
      <c r="B135" s="12">
        <v>3232</v>
      </c>
      <c r="C135" s="13"/>
      <c r="D135" s="128" t="s">
        <v>172</v>
      </c>
      <c r="E135" s="13"/>
      <c r="F135" s="55"/>
      <c r="G135" s="55">
        <f>11650</f>
        <v>11650</v>
      </c>
      <c r="H135" s="137"/>
    </row>
    <row r="136" spans="1:8" x14ac:dyDescent="0.25">
      <c r="A136" s="12"/>
      <c r="B136" s="12">
        <v>3233</v>
      </c>
      <c r="C136" s="13"/>
      <c r="D136" s="128" t="s">
        <v>173</v>
      </c>
      <c r="E136" s="13"/>
      <c r="F136" s="55"/>
      <c r="G136" s="55">
        <f>746.55</f>
        <v>746.55</v>
      </c>
      <c r="H136" s="137"/>
    </row>
    <row r="137" spans="1:8" x14ac:dyDescent="0.25">
      <c r="A137" s="12"/>
      <c r="B137" s="12">
        <v>3234</v>
      </c>
      <c r="C137" s="13"/>
      <c r="D137" s="128" t="s">
        <v>174</v>
      </c>
      <c r="E137" s="13"/>
      <c r="F137" s="55"/>
      <c r="G137" s="55">
        <f>12679.85</f>
        <v>12679.85</v>
      </c>
      <c r="H137" s="137"/>
    </row>
    <row r="138" spans="1:8" x14ac:dyDescent="0.25">
      <c r="A138" s="12"/>
      <c r="B138" s="12">
        <v>3237</v>
      </c>
      <c r="C138" s="13"/>
      <c r="D138" s="128" t="s">
        <v>175</v>
      </c>
      <c r="E138" s="13"/>
      <c r="F138" s="55"/>
      <c r="G138" s="55">
        <f>4619.84</f>
        <v>4619.84</v>
      </c>
      <c r="H138" s="137"/>
    </row>
    <row r="139" spans="1:8" x14ac:dyDescent="0.25">
      <c r="A139" s="12"/>
      <c r="B139" s="12">
        <v>3238</v>
      </c>
      <c r="C139" s="13"/>
      <c r="D139" s="128" t="s">
        <v>176</v>
      </c>
      <c r="E139" s="13"/>
      <c r="F139" s="55"/>
      <c r="G139" s="55">
        <f>4954.27</f>
        <v>4954.2700000000004</v>
      </c>
      <c r="H139" s="137"/>
    </row>
    <row r="140" spans="1:8" x14ac:dyDescent="0.25">
      <c r="A140" s="12"/>
      <c r="B140" s="12">
        <v>3239</v>
      </c>
      <c r="C140" s="13"/>
      <c r="D140" s="128" t="s">
        <v>177</v>
      </c>
      <c r="E140" s="13"/>
      <c r="F140" s="55"/>
      <c r="G140" s="55">
        <f>17359.7</f>
        <v>17359.7</v>
      </c>
      <c r="H140" s="137"/>
    </row>
    <row r="141" spans="1:8" ht="22.5" x14ac:dyDescent="0.25">
      <c r="A141" s="12"/>
      <c r="B141" s="25">
        <v>329</v>
      </c>
      <c r="C141" s="13"/>
      <c r="D141" s="128" t="s">
        <v>178</v>
      </c>
      <c r="E141" s="13"/>
      <c r="F141" s="55"/>
      <c r="G141" s="121">
        <f>SUM(G142:G145)</f>
        <v>5190.46</v>
      </c>
      <c r="H141" s="137"/>
    </row>
    <row r="142" spans="1:8" x14ac:dyDescent="0.25">
      <c r="A142" s="12"/>
      <c r="B142" s="12">
        <v>3292</v>
      </c>
      <c r="C142" s="13"/>
      <c r="D142" s="128" t="s">
        <v>179</v>
      </c>
      <c r="E142" s="13"/>
      <c r="F142" s="55"/>
      <c r="G142" s="55">
        <f>3291.53</f>
        <v>3291.53</v>
      </c>
      <c r="H142" s="137"/>
    </row>
    <row r="143" spans="1:8" x14ac:dyDescent="0.25">
      <c r="A143" s="12"/>
      <c r="B143" s="12">
        <v>3293</v>
      </c>
      <c r="C143" s="13"/>
      <c r="D143" s="128" t="s">
        <v>180</v>
      </c>
      <c r="E143" s="13"/>
      <c r="F143" s="55"/>
      <c r="G143" s="55">
        <f>111.46</f>
        <v>111.46</v>
      </c>
      <c r="H143" s="137"/>
    </row>
    <row r="144" spans="1:8" x14ac:dyDescent="0.25">
      <c r="A144" s="12"/>
      <c r="B144" s="12">
        <v>3294</v>
      </c>
      <c r="C144" s="13"/>
      <c r="D144" s="128" t="s">
        <v>181</v>
      </c>
      <c r="E144" s="13"/>
      <c r="F144" s="55"/>
      <c r="G144" s="55">
        <f>106.18</f>
        <v>106.18</v>
      </c>
      <c r="H144" s="137"/>
    </row>
    <row r="145" spans="1:8" ht="22.5" x14ac:dyDescent="0.25">
      <c r="A145" s="12"/>
      <c r="B145" s="12">
        <v>3299</v>
      </c>
      <c r="C145" s="13"/>
      <c r="D145" s="128" t="s">
        <v>178</v>
      </c>
      <c r="E145" s="13"/>
      <c r="F145" s="55"/>
      <c r="G145" s="55">
        <f>1587.69+93.6</f>
        <v>1681.29</v>
      </c>
      <c r="H145" s="137"/>
    </row>
    <row r="146" spans="1:8" s="120" customFormat="1" x14ac:dyDescent="0.25">
      <c r="A146" s="118"/>
      <c r="B146" s="118"/>
      <c r="C146" s="115">
        <v>31</v>
      </c>
      <c r="D146" s="115" t="s">
        <v>52</v>
      </c>
      <c r="E146" s="115"/>
      <c r="F146" s="119">
        <v>1221.04</v>
      </c>
      <c r="G146" s="119">
        <f>G147</f>
        <v>97.22</v>
      </c>
      <c r="H146" s="137">
        <f t="shared" ref="H146:H197" si="7">(G146/F146)*100</f>
        <v>7.9620651248116365</v>
      </c>
    </row>
    <row r="147" spans="1:8" s="120" customFormat="1" x14ac:dyDescent="0.25">
      <c r="A147" s="118"/>
      <c r="B147" s="25">
        <v>323</v>
      </c>
      <c r="C147" s="13"/>
      <c r="D147" s="128" t="s">
        <v>170</v>
      </c>
      <c r="E147" s="180"/>
      <c r="F147" s="150"/>
      <c r="G147" s="150">
        <f>G148</f>
        <v>97.22</v>
      </c>
      <c r="H147" s="137"/>
    </row>
    <row r="148" spans="1:8" s="120" customFormat="1" x14ac:dyDescent="0.25">
      <c r="A148" s="118"/>
      <c r="B148" s="12">
        <v>3239</v>
      </c>
      <c r="C148" s="13"/>
      <c r="D148" s="128" t="s">
        <v>177</v>
      </c>
      <c r="E148" s="180"/>
      <c r="F148" s="150"/>
      <c r="G148" s="150">
        <f>97.22</f>
        <v>97.22</v>
      </c>
      <c r="H148" s="137"/>
    </row>
    <row r="149" spans="1:8" s="120" customFormat="1" x14ac:dyDescent="0.25">
      <c r="A149" s="118"/>
      <c r="B149" s="118"/>
      <c r="C149" s="115">
        <v>9231</v>
      </c>
      <c r="D149" s="115" t="s">
        <v>93</v>
      </c>
      <c r="E149" s="115"/>
      <c r="F149" s="119">
        <v>2123.4499999999998</v>
      </c>
      <c r="G149" s="119">
        <f>G150+G152+G154+G157+G159</f>
        <v>2123.4500000000003</v>
      </c>
      <c r="H149" s="137">
        <f t="shared" si="7"/>
        <v>100.00000000000003</v>
      </c>
    </row>
    <row r="150" spans="1:8" x14ac:dyDescent="0.25">
      <c r="A150" s="12"/>
      <c r="B150" s="25">
        <v>321</v>
      </c>
      <c r="C150" s="13"/>
      <c r="D150" s="128" t="s">
        <v>160</v>
      </c>
      <c r="E150" s="13"/>
      <c r="F150" s="55"/>
      <c r="G150" s="121">
        <f>G151</f>
        <v>128.52000000000001</v>
      </c>
      <c r="H150" s="137"/>
    </row>
    <row r="151" spans="1:8" x14ac:dyDescent="0.25">
      <c r="A151" s="12"/>
      <c r="B151" s="12">
        <v>3211</v>
      </c>
      <c r="C151" s="13"/>
      <c r="D151" s="128" t="s">
        <v>161</v>
      </c>
      <c r="E151" s="13"/>
      <c r="F151" s="55"/>
      <c r="G151" s="55">
        <f>128.52</f>
        <v>128.52000000000001</v>
      </c>
      <c r="H151" s="137"/>
    </row>
    <row r="152" spans="1:8" x14ac:dyDescent="0.25">
      <c r="A152" s="12"/>
      <c r="B152" s="25">
        <v>322</v>
      </c>
      <c r="C152" s="13"/>
      <c r="D152" s="128" t="s">
        <v>165</v>
      </c>
      <c r="E152" s="13"/>
      <c r="F152" s="55"/>
      <c r="G152" s="121">
        <f>G153</f>
        <v>1052.68</v>
      </c>
      <c r="H152" s="137"/>
    </row>
    <row r="153" spans="1:8" ht="22.5" x14ac:dyDescent="0.25">
      <c r="A153" s="12"/>
      <c r="B153" s="12">
        <v>3221</v>
      </c>
      <c r="C153" s="13"/>
      <c r="D153" s="128" t="s">
        <v>166</v>
      </c>
      <c r="E153" s="13"/>
      <c r="F153" s="55"/>
      <c r="G153" s="55">
        <f>1052.68</f>
        <v>1052.68</v>
      </c>
      <c r="H153" s="137"/>
    </row>
    <row r="154" spans="1:8" x14ac:dyDescent="0.25">
      <c r="A154" s="12"/>
      <c r="B154" s="25">
        <v>323</v>
      </c>
      <c r="C154" s="13"/>
      <c r="D154" s="128" t="s">
        <v>170</v>
      </c>
      <c r="E154" s="13"/>
      <c r="F154" s="55"/>
      <c r="G154" s="121">
        <f>G156+G155</f>
        <v>818.08999999999992</v>
      </c>
      <c r="H154" s="137"/>
    </row>
    <row r="155" spans="1:8" x14ac:dyDescent="0.25">
      <c r="A155" s="12"/>
      <c r="B155" s="12">
        <v>3231</v>
      </c>
      <c r="C155" s="13"/>
      <c r="D155" s="128" t="s">
        <v>171</v>
      </c>
      <c r="E155" s="13"/>
      <c r="F155" s="55"/>
      <c r="G155" s="55">
        <v>457.31</v>
      </c>
      <c r="H155" s="137"/>
    </row>
    <row r="156" spans="1:8" x14ac:dyDescent="0.25">
      <c r="A156" s="12"/>
      <c r="B156" s="12">
        <v>3239</v>
      </c>
      <c r="C156" s="13"/>
      <c r="D156" s="128" t="s">
        <v>177</v>
      </c>
      <c r="E156" s="13"/>
      <c r="F156" s="55"/>
      <c r="G156" s="55">
        <v>360.78</v>
      </c>
      <c r="H156" s="137"/>
    </row>
    <row r="157" spans="1:8" ht="22.5" x14ac:dyDescent="0.25">
      <c r="A157" s="12"/>
      <c r="B157" s="25">
        <v>324</v>
      </c>
      <c r="C157" s="13"/>
      <c r="D157" s="128" t="s">
        <v>182</v>
      </c>
      <c r="E157" s="13"/>
      <c r="F157" s="55"/>
      <c r="G157" s="121">
        <f>G158</f>
        <v>62.01</v>
      </c>
      <c r="H157" s="137"/>
    </row>
    <row r="158" spans="1:8" ht="22.5" x14ac:dyDescent="0.25">
      <c r="A158" s="12"/>
      <c r="B158" s="12">
        <v>3241</v>
      </c>
      <c r="C158" s="13"/>
      <c r="D158" s="128" t="s">
        <v>182</v>
      </c>
      <c r="E158" s="13"/>
      <c r="F158" s="55"/>
      <c r="G158" s="55">
        <f>62.01</f>
        <v>62.01</v>
      </c>
      <c r="H158" s="137"/>
    </row>
    <row r="159" spans="1:8" ht="22.5" x14ac:dyDescent="0.25">
      <c r="A159" s="12"/>
      <c r="B159" s="25">
        <v>329</v>
      </c>
      <c r="C159" s="13"/>
      <c r="D159" s="128" t="s">
        <v>178</v>
      </c>
      <c r="E159" s="13"/>
      <c r="F159" s="55"/>
      <c r="G159" s="121">
        <f>SUM(G160:G162)</f>
        <v>62.15</v>
      </c>
      <c r="H159" s="137"/>
    </row>
    <row r="160" spans="1:8" x14ac:dyDescent="0.25">
      <c r="A160" s="12"/>
      <c r="B160" s="12">
        <v>3292</v>
      </c>
      <c r="C160" s="13"/>
      <c r="D160" s="128" t="s">
        <v>179</v>
      </c>
      <c r="E160" s="13"/>
      <c r="F160" s="55"/>
      <c r="G160" s="55">
        <f>19.32</f>
        <v>19.32</v>
      </c>
      <c r="H160" s="137"/>
    </row>
    <row r="161" spans="1:8" x14ac:dyDescent="0.25">
      <c r="A161" s="12"/>
      <c r="B161" s="12">
        <v>3293</v>
      </c>
      <c r="C161" s="13"/>
      <c r="D161" s="128" t="s">
        <v>180</v>
      </c>
      <c r="E161" s="13"/>
      <c r="F161" s="55"/>
      <c r="G161" s="55">
        <f>15.83</f>
        <v>15.83</v>
      </c>
      <c r="H161" s="137"/>
    </row>
    <row r="162" spans="1:8" ht="22.5" x14ac:dyDescent="0.25">
      <c r="A162" s="12"/>
      <c r="B162" s="12">
        <v>3299</v>
      </c>
      <c r="C162" s="13"/>
      <c r="D162" s="128" t="s">
        <v>178</v>
      </c>
      <c r="E162" s="13"/>
      <c r="F162" s="55"/>
      <c r="G162" s="55">
        <f>27</f>
        <v>27</v>
      </c>
      <c r="H162" s="137"/>
    </row>
    <row r="163" spans="1:8" s="120" customFormat="1" x14ac:dyDescent="0.25">
      <c r="A163" s="118"/>
      <c r="B163" s="118"/>
      <c r="C163" s="115">
        <v>41</v>
      </c>
      <c r="D163" s="115" t="s">
        <v>50</v>
      </c>
      <c r="E163" s="115"/>
      <c r="F163" s="119">
        <v>74930.89</v>
      </c>
      <c r="G163" s="119">
        <f>G164+G166+G171+G176</f>
        <v>52483.450000000004</v>
      </c>
      <c r="H163" s="137">
        <f t="shared" si="7"/>
        <v>70.04247513942515</v>
      </c>
    </row>
    <row r="164" spans="1:8" x14ac:dyDescent="0.25">
      <c r="A164" s="12"/>
      <c r="B164" s="25">
        <v>321</v>
      </c>
      <c r="C164" s="13"/>
      <c r="D164" s="128" t="s">
        <v>160</v>
      </c>
      <c r="E164" s="13"/>
      <c r="F164" s="55"/>
      <c r="G164" s="121">
        <f>G165</f>
        <v>73</v>
      </c>
      <c r="H164" s="137"/>
    </row>
    <row r="165" spans="1:8" x14ac:dyDescent="0.25">
      <c r="A165" s="12"/>
      <c r="B165" s="12">
        <v>3213</v>
      </c>
      <c r="C165" s="13"/>
      <c r="D165" s="128" t="s">
        <v>163</v>
      </c>
      <c r="E165" s="13"/>
      <c r="F165" s="55"/>
      <c r="G165" s="55">
        <f>73</f>
        <v>73</v>
      </c>
      <c r="H165" s="137"/>
    </row>
    <row r="166" spans="1:8" x14ac:dyDescent="0.25">
      <c r="A166" s="12"/>
      <c r="B166" s="25">
        <v>322</v>
      </c>
      <c r="C166" s="13"/>
      <c r="D166" s="128" t="s">
        <v>165</v>
      </c>
      <c r="E166" s="13"/>
      <c r="F166" s="55"/>
      <c r="G166" s="121">
        <f>SUM(G167:G170)</f>
        <v>46255.770000000004</v>
      </c>
      <c r="H166" s="137"/>
    </row>
    <row r="167" spans="1:8" ht="22.5" x14ac:dyDescent="0.25">
      <c r="A167" s="12"/>
      <c r="B167" s="12">
        <v>3221</v>
      </c>
      <c r="C167" s="13"/>
      <c r="D167" s="128" t="s">
        <v>166</v>
      </c>
      <c r="E167" s="13"/>
      <c r="F167" s="55"/>
      <c r="G167" s="55">
        <f>6959.58</f>
        <v>6959.58</v>
      </c>
      <c r="H167" s="137"/>
    </row>
    <row r="168" spans="1:8" x14ac:dyDescent="0.25">
      <c r="A168" s="12"/>
      <c r="B168" s="12">
        <v>3222</v>
      </c>
      <c r="C168" s="13"/>
      <c r="D168" s="128" t="s">
        <v>167</v>
      </c>
      <c r="E168" s="13"/>
      <c r="F168" s="55"/>
      <c r="G168" s="55">
        <f>37433.5</f>
        <v>37433.5</v>
      </c>
      <c r="H168" s="137"/>
    </row>
    <row r="169" spans="1:8" x14ac:dyDescent="0.25">
      <c r="A169" s="12"/>
      <c r="B169" s="12">
        <v>3225</v>
      </c>
      <c r="C169" s="13"/>
      <c r="D169" s="128" t="s">
        <v>169</v>
      </c>
      <c r="E169" s="13"/>
      <c r="F169" s="55"/>
      <c r="G169" s="55">
        <f>1512.51</f>
        <v>1512.51</v>
      </c>
      <c r="H169" s="137"/>
    </row>
    <row r="170" spans="1:8" ht="22.5" x14ac:dyDescent="0.25">
      <c r="A170" s="12"/>
      <c r="B170" s="12">
        <v>3227</v>
      </c>
      <c r="C170" s="13"/>
      <c r="D170" s="128" t="s">
        <v>183</v>
      </c>
      <c r="E170" s="13"/>
      <c r="F170" s="55"/>
      <c r="G170" s="55">
        <f>350.18</f>
        <v>350.18</v>
      </c>
      <c r="H170" s="137"/>
    </row>
    <row r="171" spans="1:8" x14ac:dyDescent="0.25">
      <c r="A171" s="12"/>
      <c r="B171" s="25">
        <v>323</v>
      </c>
      <c r="C171" s="13"/>
      <c r="D171" s="128" t="s">
        <v>170</v>
      </c>
      <c r="E171" s="13"/>
      <c r="F171" s="55"/>
      <c r="G171" s="121">
        <f>SUM(G172:G175)</f>
        <v>6016.9</v>
      </c>
      <c r="H171" s="137"/>
    </row>
    <row r="172" spans="1:8" x14ac:dyDescent="0.25">
      <c r="A172" s="12"/>
      <c r="B172" s="12">
        <v>3232</v>
      </c>
      <c r="C172" s="13"/>
      <c r="D172" s="128" t="s">
        <v>217</v>
      </c>
      <c r="E172" s="13"/>
      <c r="F172" s="55"/>
      <c r="G172" s="55">
        <f>1000</f>
        <v>1000</v>
      </c>
      <c r="H172" s="137"/>
    </row>
    <row r="173" spans="1:8" x14ac:dyDescent="0.25">
      <c r="A173" s="12"/>
      <c r="B173" s="12">
        <v>3234</v>
      </c>
      <c r="C173" s="13"/>
      <c r="D173" s="128" t="s">
        <v>174</v>
      </c>
      <c r="E173" s="13"/>
      <c r="F173" s="55"/>
      <c r="G173" s="55">
        <f>4434.97</f>
        <v>4434.97</v>
      </c>
      <c r="H173" s="137"/>
    </row>
    <row r="174" spans="1:8" x14ac:dyDescent="0.25">
      <c r="A174" s="12"/>
      <c r="B174" s="12">
        <v>3236</v>
      </c>
      <c r="C174" s="13"/>
      <c r="D174" s="129" t="s">
        <v>184</v>
      </c>
      <c r="E174" s="13"/>
      <c r="F174" s="55"/>
      <c r="G174" s="55">
        <f>352.61</f>
        <v>352.61</v>
      </c>
      <c r="H174" s="137"/>
    </row>
    <row r="175" spans="1:8" x14ac:dyDescent="0.25">
      <c r="A175" s="12"/>
      <c r="B175" s="12">
        <v>3239</v>
      </c>
      <c r="C175" s="13"/>
      <c r="D175" s="128" t="s">
        <v>177</v>
      </c>
      <c r="E175" s="13"/>
      <c r="F175" s="55"/>
      <c r="G175" s="55">
        <f>229.32</f>
        <v>229.32</v>
      </c>
      <c r="H175" s="137"/>
    </row>
    <row r="176" spans="1:8" ht="22.5" x14ac:dyDescent="0.25">
      <c r="A176" s="12"/>
      <c r="B176" s="25">
        <v>329</v>
      </c>
      <c r="C176" s="13"/>
      <c r="D176" s="128" t="s">
        <v>178</v>
      </c>
      <c r="E176" s="13"/>
      <c r="F176" s="55"/>
      <c r="G176" s="121">
        <f>G177+G178</f>
        <v>137.78</v>
      </c>
      <c r="H176" s="137"/>
    </row>
    <row r="177" spans="1:8" ht="22.5" x14ac:dyDescent="0.25">
      <c r="A177" s="12"/>
      <c r="B177" s="12">
        <v>3291</v>
      </c>
      <c r="C177" s="13"/>
      <c r="D177" s="128" t="s">
        <v>185</v>
      </c>
      <c r="E177" s="13"/>
      <c r="F177" s="55"/>
      <c r="G177" s="55">
        <f>121.87</f>
        <v>121.87</v>
      </c>
      <c r="H177" s="137"/>
    </row>
    <row r="178" spans="1:8" x14ac:dyDescent="0.25">
      <c r="A178" s="12"/>
      <c r="B178" s="12">
        <v>3293</v>
      </c>
      <c r="C178" s="13"/>
      <c r="D178" s="128" t="s">
        <v>180</v>
      </c>
      <c r="E178" s="13"/>
      <c r="F178" s="55"/>
      <c r="G178" s="55">
        <f>15.91</f>
        <v>15.91</v>
      </c>
      <c r="H178" s="137"/>
    </row>
    <row r="179" spans="1:8" s="120" customFormat="1" x14ac:dyDescent="0.25">
      <c r="A179" s="118"/>
      <c r="B179" s="118"/>
      <c r="C179" s="115">
        <v>9241</v>
      </c>
      <c r="D179" s="122" t="s">
        <v>95</v>
      </c>
      <c r="E179" s="122"/>
      <c r="F179" s="119">
        <v>1016.21</v>
      </c>
      <c r="G179" s="119">
        <f>G180+G182</f>
        <v>1016.21</v>
      </c>
      <c r="H179" s="137">
        <f t="shared" si="7"/>
        <v>100</v>
      </c>
    </row>
    <row r="180" spans="1:8" s="120" customFormat="1" x14ac:dyDescent="0.25">
      <c r="A180" s="118"/>
      <c r="B180" s="25">
        <v>322</v>
      </c>
      <c r="C180" s="13"/>
      <c r="D180" s="128" t="s">
        <v>165</v>
      </c>
      <c r="E180" s="181"/>
      <c r="F180" s="150"/>
      <c r="G180" s="151">
        <f>G181</f>
        <v>0.01</v>
      </c>
      <c r="H180" s="137"/>
    </row>
    <row r="181" spans="1:8" s="120" customFormat="1" ht="22.5" x14ac:dyDescent="0.25">
      <c r="A181" s="118"/>
      <c r="B181" s="12">
        <v>3221</v>
      </c>
      <c r="C181" s="13"/>
      <c r="D181" s="128" t="s">
        <v>166</v>
      </c>
      <c r="E181" s="181"/>
      <c r="F181" s="150"/>
      <c r="G181" s="150">
        <v>0.01</v>
      </c>
      <c r="H181" s="137"/>
    </row>
    <row r="182" spans="1:8" s="120" customFormat="1" x14ac:dyDescent="0.25">
      <c r="A182" s="118"/>
      <c r="B182" s="25">
        <v>323</v>
      </c>
      <c r="C182" s="13"/>
      <c r="D182" s="128" t="s">
        <v>170</v>
      </c>
      <c r="E182" s="181"/>
      <c r="F182" s="150"/>
      <c r="G182" s="151">
        <f>G183+G184</f>
        <v>1016.2</v>
      </c>
      <c r="H182" s="137"/>
    </row>
    <row r="183" spans="1:8" s="120" customFormat="1" x14ac:dyDescent="0.25">
      <c r="A183" s="118"/>
      <c r="B183" s="12">
        <v>3234</v>
      </c>
      <c r="C183" s="13"/>
      <c r="D183" s="128" t="s">
        <v>174</v>
      </c>
      <c r="E183" s="181"/>
      <c r="F183" s="150"/>
      <c r="G183" s="150">
        <v>191.44</v>
      </c>
      <c r="H183" s="137"/>
    </row>
    <row r="184" spans="1:8" s="120" customFormat="1" x14ac:dyDescent="0.25">
      <c r="A184" s="118"/>
      <c r="B184" s="12">
        <v>3239</v>
      </c>
      <c r="C184" s="13"/>
      <c r="D184" s="128" t="s">
        <v>177</v>
      </c>
      <c r="E184" s="181"/>
      <c r="F184" s="150"/>
      <c r="G184" s="150">
        <v>824.76</v>
      </c>
      <c r="H184" s="137"/>
    </row>
    <row r="185" spans="1:8" s="120" customFormat="1" x14ac:dyDescent="0.25">
      <c r="A185" s="118"/>
      <c r="B185" s="118"/>
      <c r="C185" s="115">
        <v>53</v>
      </c>
      <c r="D185" s="115" t="s">
        <v>55</v>
      </c>
      <c r="E185" s="122"/>
      <c r="F185" s="119">
        <v>478.08</v>
      </c>
      <c r="G185" s="119">
        <f>G186</f>
        <v>70.16</v>
      </c>
      <c r="H185" s="137">
        <f t="shared" si="7"/>
        <v>14.67536813922356</v>
      </c>
    </row>
    <row r="186" spans="1:8" s="120" customFormat="1" x14ac:dyDescent="0.25">
      <c r="A186" s="118"/>
      <c r="B186" s="25">
        <v>321</v>
      </c>
      <c r="C186" s="13"/>
      <c r="D186" s="128" t="s">
        <v>160</v>
      </c>
      <c r="E186" s="181"/>
      <c r="F186" s="150"/>
      <c r="G186" s="151">
        <f>G187</f>
        <v>70.16</v>
      </c>
      <c r="H186" s="137"/>
    </row>
    <row r="187" spans="1:8" s="120" customFormat="1" ht="22.5" x14ac:dyDescent="0.25">
      <c r="A187" s="118"/>
      <c r="B187" s="12">
        <v>3212</v>
      </c>
      <c r="C187" s="13"/>
      <c r="D187" s="128" t="s">
        <v>162</v>
      </c>
      <c r="E187" s="181"/>
      <c r="F187" s="150"/>
      <c r="G187" s="150">
        <v>70.16</v>
      </c>
      <c r="H187" s="137"/>
    </row>
    <row r="188" spans="1:8" s="120" customFormat="1" x14ac:dyDescent="0.25">
      <c r="A188" s="118"/>
      <c r="B188" s="118"/>
      <c r="C188" s="115">
        <v>92530</v>
      </c>
      <c r="D188" s="115" t="s">
        <v>97</v>
      </c>
      <c r="E188" s="115"/>
      <c r="F188" s="119">
        <v>860.04</v>
      </c>
      <c r="G188" s="119">
        <f>G189</f>
        <v>860.04</v>
      </c>
      <c r="H188" s="137">
        <f t="shared" si="7"/>
        <v>100</v>
      </c>
    </row>
    <row r="189" spans="1:8" x14ac:dyDescent="0.25">
      <c r="A189" s="12"/>
      <c r="B189" s="25">
        <v>321</v>
      </c>
      <c r="C189" s="13"/>
      <c r="D189" s="128" t="s">
        <v>160</v>
      </c>
      <c r="E189" s="13"/>
      <c r="F189" s="55"/>
      <c r="G189" s="121">
        <f>G190</f>
        <v>860.04</v>
      </c>
      <c r="H189" s="137"/>
    </row>
    <row r="190" spans="1:8" ht="22.5" x14ac:dyDescent="0.25">
      <c r="A190" s="12"/>
      <c r="B190" s="12">
        <v>3212</v>
      </c>
      <c r="C190" s="13"/>
      <c r="D190" s="128" t="s">
        <v>162</v>
      </c>
      <c r="E190" s="13"/>
      <c r="F190" s="55"/>
      <c r="G190" s="55">
        <v>860.04</v>
      </c>
      <c r="H190" s="137"/>
    </row>
    <row r="191" spans="1:8" s="120" customFormat="1" x14ac:dyDescent="0.25">
      <c r="A191" s="118"/>
      <c r="B191" s="118"/>
      <c r="C191" s="115">
        <v>5402</v>
      </c>
      <c r="D191" s="115" t="s">
        <v>56</v>
      </c>
      <c r="E191" s="115"/>
      <c r="F191" s="119">
        <f>24725.62+6281.56</f>
        <v>31007.18</v>
      </c>
      <c r="G191" s="119">
        <f>G194+G192</f>
        <v>16866.55</v>
      </c>
      <c r="H191" s="137">
        <f t="shared" si="7"/>
        <v>54.395627077341437</v>
      </c>
    </row>
    <row r="192" spans="1:8" s="120" customFormat="1" x14ac:dyDescent="0.25">
      <c r="A192" s="118"/>
      <c r="B192" s="25">
        <v>321</v>
      </c>
      <c r="C192" s="115"/>
      <c r="D192" s="128" t="s">
        <v>160</v>
      </c>
      <c r="E192" s="115"/>
      <c r="F192" s="119"/>
      <c r="G192" s="151">
        <f>G193</f>
        <v>6281.56</v>
      </c>
      <c r="H192" s="137"/>
    </row>
    <row r="193" spans="1:8" s="120" customFormat="1" ht="22.5" x14ac:dyDescent="0.25">
      <c r="A193" s="118"/>
      <c r="B193" s="12">
        <v>3212</v>
      </c>
      <c r="C193" s="115"/>
      <c r="D193" s="128" t="s">
        <v>162</v>
      </c>
      <c r="E193" s="115"/>
      <c r="F193" s="119"/>
      <c r="G193" s="150">
        <f>6281.56</f>
        <v>6281.56</v>
      </c>
      <c r="H193" s="137"/>
    </row>
    <row r="194" spans="1:8" x14ac:dyDescent="0.25">
      <c r="A194" s="12"/>
      <c r="B194" s="25">
        <v>322</v>
      </c>
      <c r="C194" s="13"/>
      <c r="D194" s="128" t="s">
        <v>165</v>
      </c>
      <c r="E194" s="13"/>
      <c r="F194" s="55"/>
      <c r="G194" s="121">
        <f>G195</f>
        <v>10584.99</v>
      </c>
      <c r="H194" s="137"/>
    </row>
    <row r="195" spans="1:8" x14ac:dyDescent="0.25">
      <c r="A195" s="12"/>
      <c r="B195" s="12">
        <v>3222</v>
      </c>
      <c r="C195" s="13"/>
      <c r="D195" s="128" t="s">
        <v>167</v>
      </c>
      <c r="E195" s="13"/>
      <c r="F195" s="55"/>
      <c r="G195" s="55">
        <f>10584.99</f>
        <v>10584.99</v>
      </c>
      <c r="H195" s="137"/>
    </row>
    <row r="196" spans="1:8" s="120" customFormat="1" x14ac:dyDescent="0.25">
      <c r="A196" s="118"/>
      <c r="B196" s="118"/>
      <c r="C196" s="115">
        <v>925401</v>
      </c>
      <c r="D196" s="115" t="s">
        <v>127</v>
      </c>
      <c r="E196" s="115"/>
      <c r="F196" s="119">
        <v>4718.59</v>
      </c>
      <c r="G196" s="119">
        <v>0</v>
      </c>
      <c r="H196" s="137">
        <f t="shared" si="7"/>
        <v>0</v>
      </c>
    </row>
    <row r="197" spans="1:8" s="120" customFormat="1" x14ac:dyDescent="0.25">
      <c r="A197" s="118"/>
      <c r="B197" s="118"/>
      <c r="C197" s="115">
        <v>57</v>
      </c>
      <c r="D197" s="115" t="s">
        <v>51</v>
      </c>
      <c r="E197" s="115"/>
      <c r="F197" s="119">
        <f>47634.52+238636.56+4681.54+1700</f>
        <v>292652.62</v>
      </c>
      <c r="G197" s="119">
        <f>G198+G201+G205+G208</f>
        <v>269420.12000000005</v>
      </c>
      <c r="H197" s="137">
        <f t="shared" si="7"/>
        <v>92.061407138606882</v>
      </c>
    </row>
    <row r="198" spans="1:8" x14ac:dyDescent="0.25">
      <c r="A198" s="12"/>
      <c r="B198" s="25">
        <v>321</v>
      </c>
      <c r="C198" s="13"/>
      <c r="D198" s="128" t="s">
        <v>160</v>
      </c>
      <c r="E198" s="13"/>
      <c r="F198" s="55"/>
      <c r="G198" s="121">
        <f>G199+G200</f>
        <v>41273.579999999994</v>
      </c>
      <c r="H198" s="137"/>
    </row>
    <row r="199" spans="1:8" x14ac:dyDescent="0.25">
      <c r="A199" s="12"/>
      <c r="B199" s="12">
        <v>3211</v>
      </c>
      <c r="C199" s="13"/>
      <c r="D199" s="128" t="s">
        <v>161</v>
      </c>
      <c r="E199" s="13"/>
      <c r="F199" s="55"/>
      <c r="G199" s="55">
        <f>324.74</f>
        <v>324.74</v>
      </c>
      <c r="H199" s="137"/>
    </row>
    <row r="200" spans="1:8" ht="22.5" x14ac:dyDescent="0.25">
      <c r="A200" s="12"/>
      <c r="B200" s="12">
        <v>3212</v>
      </c>
      <c r="C200" s="13"/>
      <c r="D200" s="128" t="s">
        <v>162</v>
      </c>
      <c r="E200" s="13"/>
      <c r="F200" s="55"/>
      <c r="G200" s="55">
        <f>39266.64+1682.2</f>
        <v>40948.839999999997</v>
      </c>
      <c r="H200" s="137"/>
    </row>
    <row r="201" spans="1:8" x14ac:dyDescent="0.25">
      <c r="A201" s="12"/>
      <c r="B201" s="25">
        <v>322</v>
      </c>
      <c r="C201" s="13"/>
      <c r="D201" s="128" t="s">
        <v>165</v>
      </c>
      <c r="E201" s="13"/>
      <c r="F201" s="55"/>
      <c r="G201" s="121">
        <f>G202+G203+G204</f>
        <v>76011.590000000011</v>
      </c>
      <c r="H201" s="137"/>
    </row>
    <row r="202" spans="1:8" ht="22.5" x14ac:dyDescent="0.25">
      <c r="A202" s="12"/>
      <c r="B202" s="12">
        <v>3221</v>
      </c>
      <c r="C202" s="13"/>
      <c r="D202" s="128" t="s">
        <v>166</v>
      </c>
      <c r="E202" s="13"/>
      <c r="F202" s="55"/>
      <c r="G202" s="55">
        <f>2421.46</f>
        <v>2421.46</v>
      </c>
      <c r="H202" s="137"/>
    </row>
    <row r="203" spans="1:8" x14ac:dyDescent="0.25">
      <c r="A203" s="12"/>
      <c r="B203" s="12">
        <v>3222</v>
      </c>
      <c r="C203" s="13"/>
      <c r="D203" s="128" t="s">
        <v>167</v>
      </c>
      <c r="E203" s="13"/>
      <c r="F203" s="55"/>
      <c r="G203" s="55">
        <f>72898.21+498.92</f>
        <v>73397.13</v>
      </c>
      <c r="H203" s="137"/>
    </row>
    <row r="204" spans="1:8" x14ac:dyDescent="0.25">
      <c r="A204" s="12"/>
      <c r="B204" s="12">
        <v>3225</v>
      </c>
      <c r="C204" s="13"/>
      <c r="D204" s="128" t="s">
        <v>169</v>
      </c>
      <c r="E204" s="13"/>
      <c r="F204" s="55"/>
      <c r="G204" s="55">
        <f>193</f>
        <v>193</v>
      </c>
      <c r="H204" s="137"/>
    </row>
    <row r="205" spans="1:8" x14ac:dyDescent="0.25">
      <c r="A205" s="12"/>
      <c r="B205" s="25">
        <v>323</v>
      </c>
      <c r="C205" s="13"/>
      <c r="D205" s="128" t="s">
        <v>170</v>
      </c>
      <c r="E205" s="13"/>
      <c r="F205" s="55"/>
      <c r="G205" s="121">
        <f>G206+G207</f>
        <v>144497.33000000002</v>
      </c>
      <c r="H205" s="137"/>
    </row>
    <row r="206" spans="1:8" x14ac:dyDescent="0.25">
      <c r="A206" s="12"/>
      <c r="B206" s="12">
        <v>3237</v>
      </c>
      <c r="C206" s="13"/>
      <c r="D206" s="128" t="s">
        <v>175</v>
      </c>
      <c r="E206" s="13"/>
      <c r="F206" s="55"/>
      <c r="G206" s="55">
        <f>1210.38</f>
        <v>1210.3800000000001</v>
      </c>
      <c r="H206" s="137"/>
    </row>
    <row r="207" spans="1:8" x14ac:dyDescent="0.25">
      <c r="A207" s="12"/>
      <c r="B207" s="12">
        <v>3239</v>
      </c>
      <c r="C207" s="13"/>
      <c r="D207" s="128" t="s">
        <v>177</v>
      </c>
      <c r="E207" s="13"/>
      <c r="F207" s="55"/>
      <c r="G207" s="55">
        <f>143286.95</f>
        <v>143286.95000000001</v>
      </c>
      <c r="H207" s="137"/>
    </row>
    <row r="208" spans="1:8" ht="22.5" x14ac:dyDescent="0.25">
      <c r="A208" s="12"/>
      <c r="B208" s="25">
        <v>329</v>
      </c>
      <c r="C208" s="13"/>
      <c r="D208" s="128" t="s">
        <v>178</v>
      </c>
      <c r="E208" s="13"/>
      <c r="F208" s="55"/>
      <c r="G208" s="121">
        <f>SUM(G209:G212)</f>
        <v>7637.62</v>
      </c>
      <c r="H208" s="137"/>
    </row>
    <row r="209" spans="1:8" ht="22.5" x14ac:dyDescent="0.25">
      <c r="A209" s="12"/>
      <c r="B209" s="12">
        <v>3291</v>
      </c>
      <c r="C209" s="13"/>
      <c r="D209" s="128" t="s">
        <v>185</v>
      </c>
      <c r="E209" s="13"/>
      <c r="F209" s="55"/>
      <c r="G209" s="55">
        <f>794.72</f>
        <v>794.72</v>
      </c>
      <c r="H209" s="137"/>
    </row>
    <row r="210" spans="1:8" x14ac:dyDescent="0.25">
      <c r="A210" s="12"/>
      <c r="B210" s="12">
        <v>3293</v>
      </c>
      <c r="C210" s="13"/>
      <c r="D210" s="128" t="s">
        <v>180</v>
      </c>
      <c r="E210" s="13"/>
      <c r="F210" s="55"/>
      <c r="G210" s="55">
        <f>40.24</f>
        <v>40.24</v>
      </c>
      <c r="H210" s="137"/>
    </row>
    <row r="211" spans="1:8" x14ac:dyDescent="0.25">
      <c r="A211" s="12"/>
      <c r="B211" s="12">
        <v>3295</v>
      </c>
      <c r="C211" s="13"/>
      <c r="D211" s="129" t="s">
        <v>186</v>
      </c>
      <c r="E211" s="13"/>
      <c r="F211" s="55"/>
      <c r="G211" s="55">
        <f>6377.71</f>
        <v>6377.71</v>
      </c>
      <c r="H211" s="137"/>
    </row>
    <row r="212" spans="1:8" ht="22.5" x14ac:dyDescent="0.25">
      <c r="A212" s="12"/>
      <c r="B212" s="12">
        <v>3299</v>
      </c>
      <c r="C212" s="13"/>
      <c r="D212" s="128" t="s">
        <v>178</v>
      </c>
      <c r="E212" s="13"/>
      <c r="F212" s="55"/>
      <c r="G212" s="55">
        <f>424.95</f>
        <v>424.95</v>
      </c>
      <c r="H212" s="137"/>
    </row>
    <row r="213" spans="1:8" s="120" customFormat="1" x14ac:dyDescent="0.25">
      <c r="A213" s="118"/>
      <c r="B213" s="118"/>
      <c r="C213" s="115">
        <v>9257</v>
      </c>
      <c r="D213" s="115" t="s">
        <v>96</v>
      </c>
      <c r="E213" s="115"/>
      <c r="F213" s="119">
        <v>663.61</v>
      </c>
      <c r="G213" s="119">
        <f>G214+G216</f>
        <v>663.61</v>
      </c>
      <c r="H213" s="137">
        <f t="shared" ref="H213:H228" si="8">(G213/F213)*100</f>
        <v>100</v>
      </c>
    </row>
    <row r="214" spans="1:8" s="120" customFormat="1" x14ac:dyDescent="0.25">
      <c r="A214" s="118"/>
      <c r="B214" s="25">
        <v>322</v>
      </c>
      <c r="C214" s="13"/>
      <c r="D214" s="128" t="s">
        <v>165</v>
      </c>
      <c r="E214" s="180"/>
      <c r="F214" s="150"/>
      <c r="G214" s="151">
        <f>G215</f>
        <v>260.56</v>
      </c>
      <c r="H214" s="137"/>
    </row>
    <row r="215" spans="1:8" s="120" customFormat="1" ht="22.5" x14ac:dyDescent="0.25">
      <c r="A215" s="118"/>
      <c r="B215" s="12">
        <v>3221</v>
      </c>
      <c r="C215" s="13"/>
      <c r="D215" s="128" t="s">
        <v>166</v>
      </c>
      <c r="E215" s="180"/>
      <c r="F215" s="150"/>
      <c r="G215" s="150">
        <v>260.56</v>
      </c>
      <c r="H215" s="137"/>
    </row>
    <row r="216" spans="1:8" s="120" customFormat="1" x14ac:dyDescent="0.25">
      <c r="A216" s="118"/>
      <c r="B216" s="25">
        <v>323</v>
      </c>
      <c r="C216" s="13"/>
      <c r="D216" s="128" t="s">
        <v>170</v>
      </c>
      <c r="E216" s="180"/>
      <c r="F216" s="150"/>
      <c r="G216" s="151">
        <f>G217+G218</f>
        <v>403.05</v>
      </c>
      <c r="H216" s="137"/>
    </row>
    <row r="217" spans="1:8" s="120" customFormat="1" x14ac:dyDescent="0.25">
      <c r="A217" s="118"/>
      <c r="B217" s="12">
        <v>3231</v>
      </c>
      <c r="C217" s="13"/>
      <c r="D217" s="128" t="s">
        <v>171</v>
      </c>
      <c r="E217" s="180"/>
      <c r="F217" s="150"/>
      <c r="G217" s="150">
        <v>192.69</v>
      </c>
      <c r="H217" s="137"/>
    </row>
    <row r="218" spans="1:8" s="120" customFormat="1" x14ac:dyDescent="0.25">
      <c r="A218" s="118"/>
      <c r="B218" s="12">
        <v>3239</v>
      </c>
      <c r="C218" s="13"/>
      <c r="D218" s="128" t="s">
        <v>177</v>
      </c>
      <c r="E218" s="180"/>
      <c r="F218" s="150"/>
      <c r="G218" s="150">
        <v>210.36</v>
      </c>
      <c r="H218" s="137"/>
    </row>
    <row r="219" spans="1:8" s="120" customFormat="1" x14ac:dyDescent="0.25">
      <c r="A219" s="118"/>
      <c r="B219" s="118"/>
      <c r="C219" s="115">
        <v>6103</v>
      </c>
      <c r="D219" s="115" t="s">
        <v>53</v>
      </c>
      <c r="E219" s="115"/>
      <c r="F219" s="119">
        <v>1116.07</v>
      </c>
      <c r="G219" s="119">
        <f>G220+G222+G225</f>
        <v>1111.29</v>
      </c>
      <c r="H219" s="137">
        <f t="shared" si="8"/>
        <v>99.571711451790662</v>
      </c>
    </row>
    <row r="220" spans="1:8" x14ac:dyDescent="0.25">
      <c r="A220" s="12"/>
      <c r="B220" s="25">
        <v>321</v>
      </c>
      <c r="C220" s="13"/>
      <c r="D220" s="128" t="s">
        <v>160</v>
      </c>
      <c r="E220" s="13"/>
      <c r="F220" s="55"/>
      <c r="G220" s="121">
        <f>G221</f>
        <v>258.51</v>
      </c>
      <c r="H220" s="137"/>
    </row>
    <row r="221" spans="1:8" x14ac:dyDescent="0.25">
      <c r="A221" s="12"/>
      <c r="B221" s="12">
        <v>3211</v>
      </c>
      <c r="C221" s="13"/>
      <c r="D221" s="128" t="s">
        <v>161</v>
      </c>
      <c r="E221" s="13"/>
      <c r="F221" s="55"/>
      <c r="G221" s="55">
        <v>258.51</v>
      </c>
      <c r="H221" s="137"/>
    </row>
    <row r="222" spans="1:8" x14ac:dyDescent="0.25">
      <c r="A222" s="12"/>
      <c r="B222" s="25">
        <v>322</v>
      </c>
      <c r="C222" s="13"/>
      <c r="D222" s="128" t="s">
        <v>165</v>
      </c>
      <c r="E222" s="13"/>
      <c r="F222" s="55"/>
      <c r="G222" s="121">
        <f>G223+G224</f>
        <v>494.58000000000004</v>
      </c>
      <c r="H222" s="137"/>
    </row>
    <row r="223" spans="1:8" ht="22.5" x14ac:dyDescent="0.25">
      <c r="A223" s="12"/>
      <c r="B223" s="12">
        <v>3221</v>
      </c>
      <c r="C223" s="13"/>
      <c r="D223" s="128" t="s">
        <v>166</v>
      </c>
      <c r="E223" s="13"/>
      <c r="F223" s="55"/>
      <c r="G223" s="55">
        <v>370.6</v>
      </c>
      <c r="H223" s="137"/>
    </row>
    <row r="224" spans="1:8" x14ac:dyDescent="0.25">
      <c r="A224" s="12"/>
      <c r="B224" s="12">
        <v>3225</v>
      </c>
      <c r="C224" s="13"/>
      <c r="D224" s="128" t="s">
        <v>169</v>
      </c>
      <c r="E224" s="13"/>
      <c r="F224" s="55"/>
      <c r="G224" s="55">
        <v>123.98</v>
      </c>
      <c r="H224" s="137"/>
    </row>
    <row r="225" spans="1:8" ht="22.5" x14ac:dyDescent="0.25">
      <c r="A225" s="12"/>
      <c r="B225" s="25">
        <v>329</v>
      </c>
      <c r="C225" s="13"/>
      <c r="D225" s="128" t="s">
        <v>178</v>
      </c>
      <c r="E225" s="13"/>
      <c r="F225" s="55"/>
      <c r="G225" s="121">
        <f>G226+G227</f>
        <v>358.2</v>
      </c>
      <c r="H225" s="137"/>
    </row>
    <row r="226" spans="1:8" x14ac:dyDescent="0.25">
      <c r="A226" s="12"/>
      <c r="B226" s="12">
        <v>3293</v>
      </c>
      <c r="C226" s="13"/>
      <c r="D226" s="128" t="s">
        <v>180</v>
      </c>
      <c r="E226" s="13"/>
      <c r="F226" s="55"/>
      <c r="G226" s="55">
        <v>235.28</v>
      </c>
      <c r="H226" s="137"/>
    </row>
    <row r="227" spans="1:8" ht="22.5" x14ac:dyDescent="0.25">
      <c r="A227" s="12"/>
      <c r="B227" s="12">
        <v>3299</v>
      </c>
      <c r="C227" s="13"/>
      <c r="D227" s="128" t="s">
        <v>178</v>
      </c>
      <c r="E227" s="13"/>
      <c r="F227" s="55"/>
      <c r="G227" s="55">
        <v>122.92</v>
      </c>
      <c r="H227" s="137"/>
    </row>
    <row r="228" spans="1:8" s="120" customFormat="1" x14ac:dyDescent="0.25">
      <c r="A228" s="118"/>
      <c r="B228" s="118"/>
      <c r="C228" s="115">
        <v>926103</v>
      </c>
      <c r="D228" s="115" t="s">
        <v>98</v>
      </c>
      <c r="E228" s="115"/>
      <c r="F228" s="119">
        <v>265.45</v>
      </c>
      <c r="G228" s="119">
        <f>G229</f>
        <v>265.45</v>
      </c>
      <c r="H228" s="137">
        <f t="shared" si="8"/>
        <v>100</v>
      </c>
    </row>
    <row r="229" spans="1:8" s="120" customFormat="1" x14ac:dyDescent="0.25">
      <c r="A229" s="118"/>
      <c r="B229" s="25">
        <v>322</v>
      </c>
      <c r="C229" s="13"/>
      <c r="D229" s="128" t="s">
        <v>165</v>
      </c>
      <c r="E229" s="180"/>
      <c r="F229" s="150"/>
      <c r="G229" s="151">
        <f>G230</f>
        <v>265.45</v>
      </c>
      <c r="H229" s="137"/>
    </row>
    <row r="230" spans="1:8" s="120" customFormat="1" ht="22.5" x14ac:dyDescent="0.25">
      <c r="A230" s="118"/>
      <c r="B230" s="12">
        <v>3221</v>
      </c>
      <c r="C230" s="13"/>
      <c r="D230" s="128" t="s">
        <v>166</v>
      </c>
      <c r="E230" s="180"/>
      <c r="F230" s="150"/>
      <c r="G230" s="150">
        <v>265.45</v>
      </c>
      <c r="H230" s="137"/>
    </row>
    <row r="231" spans="1:8" x14ac:dyDescent="0.25">
      <c r="A231" s="39"/>
      <c r="B231" s="39">
        <v>34</v>
      </c>
      <c r="C231" s="40"/>
      <c r="D231" s="39" t="s">
        <v>43</v>
      </c>
      <c r="E231" s="39"/>
      <c r="F231" s="58">
        <f>F232+F236+F239+F240+F243</f>
        <v>1165.21</v>
      </c>
      <c r="G231" s="58">
        <f>G232+G236+G239+G240+G243</f>
        <v>953.58999999999992</v>
      </c>
      <c r="H231" s="134">
        <f>(G231/F231)*100</f>
        <v>81.838466885797402</v>
      </c>
    </row>
    <row r="232" spans="1:8" s="120" customFormat="1" x14ac:dyDescent="0.25">
      <c r="A232" s="123"/>
      <c r="B232" s="123"/>
      <c r="C232" s="115">
        <v>11</v>
      </c>
      <c r="D232" s="115" t="s">
        <v>17</v>
      </c>
      <c r="E232" s="115"/>
      <c r="F232" s="124">
        <v>793.05</v>
      </c>
      <c r="G232" s="124">
        <f>G233</f>
        <v>793.05</v>
      </c>
      <c r="H232" s="143">
        <f>(G232/F232)*100</f>
        <v>100</v>
      </c>
    </row>
    <row r="233" spans="1:8" x14ac:dyDescent="0.25">
      <c r="A233" s="43"/>
      <c r="B233" s="127">
        <v>343</v>
      </c>
      <c r="C233" s="13"/>
      <c r="D233" s="129" t="s">
        <v>187</v>
      </c>
      <c r="E233" s="13"/>
      <c r="F233" s="60"/>
      <c r="G233" s="82">
        <f>G234+G235</f>
        <v>793.05</v>
      </c>
      <c r="H233" s="143"/>
    </row>
    <row r="234" spans="1:8" ht="22.5" x14ac:dyDescent="0.25">
      <c r="A234" s="43"/>
      <c r="B234" s="43">
        <v>3431</v>
      </c>
      <c r="C234" s="13"/>
      <c r="D234" s="128" t="s">
        <v>188</v>
      </c>
      <c r="E234" s="13"/>
      <c r="F234" s="60"/>
      <c r="G234" s="60">
        <f>755</f>
        <v>755</v>
      </c>
      <c r="H234" s="143"/>
    </row>
    <row r="235" spans="1:8" x14ac:dyDescent="0.25">
      <c r="A235" s="43"/>
      <c r="B235" s="43">
        <v>3433</v>
      </c>
      <c r="C235" s="13"/>
      <c r="D235" s="129" t="s">
        <v>189</v>
      </c>
      <c r="E235" s="13"/>
      <c r="F235" s="60"/>
      <c r="G235" s="60">
        <f>38.05</f>
        <v>38.049999999999997</v>
      </c>
      <c r="H235" s="143"/>
    </row>
    <row r="236" spans="1:8" s="120" customFormat="1" x14ac:dyDescent="0.25">
      <c r="A236" s="123"/>
      <c r="B236" s="123"/>
      <c r="C236" s="115">
        <v>31</v>
      </c>
      <c r="D236" s="115" t="s">
        <v>52</v>
      </c>
      <c r="E236" s="115"/>
      <c r="F236" s="124">
        <v>159.26</v>
      </c>
      <c r="G236" s="124">
        <f>G237</f>
        <v>0.03</v>
      </c>
      <c r="H236" s="143">
        <f t="shared" ref="H236:H240" si="9">(G236/F236)*100</f>
        <v>1.8837121687806102E-2</v>
      </c>
    </row>
    <row r="237" spans="1:8" s="120" customFormat="1" x14ac:dyDescent="0.25">
      <c r="A237" s="123"/>
      <c r="B237" s="127">
        <v>343</v>
      </c>
      <c r="C237" s="13"/>
      <c r="D237" s="129" t="s">
        <v>187</v>
      </c>
      <c r="E237" s="180"/>
      <c r="F237" s="183"/>
      <c r="G237" s="184">
        <f>G238</f>
        <v>0.03</v>
      </c>
      <c r="H237" s="143"/>
    </row>
    <row r="238" spans="1:8" s="120" customFormat="1" ht="22.5" x14ac:dyDescent="0.25">
      <c r="A238" s="123"/>
      <c r="B238" s="43">
        <v>3431</v>
      </c>
      <c r="C238" s="13"/>
      <c r="D238" s="128" t="s">
        <v>188</v>
      </c>
      <c r="E238" s="180"/>
      <c r="F238" s="183"/>
      <c r="G238" s="183">
        <v>0.03</v>
      </c>
      <c r="H238" s="143"/>
    </row>
    <row r="239" spans="1:8" s="120" customFormat="1" x14ac:dyDescent="0.25">
      <c r="A239" s="123"/>
      <c r="B239" s="123"/>
      <c r="C239" s="115">
        <v>9231</v>
      </c>
      <c r="D239" s="115" t="s">
        <v>93</v>
      </c>
      <c r="E239" s="115"/>
      <c r="F239" s="124">
        <v>0</v>
      </c>
      <c r="G239" s="124">
        <v>0</v>
      </c>
      <c r="H239" s="143"/>
    </row>
    <row r="240" spans="1:8" s="120" customFormat="1" x14ac:dyDescent="0.25">
      <c r="A240" s="118"/>
      <c r="B240" s="118"/>
      <c r="C240" s="115">
        <v>41</v>
      </c>
      <c r="D240" s="115" t="s">
        <v>50</v>
      </c>
      <c r="E240" s="115"/>
      <c r="F240" s="119">
        <v>200</v>
      </c>
      <c r="G240" s="119">
        <f>G241</f>
        <v>147.61000000000001</v>
      </c>
      <c r="H240" s="143">
        <f t="shared" si="9"/>
        <v>73.805000000000007</v>
      </c>
    </row>
    <row r="241" spans="1:8" s="120" customFormat="1" x14ac:dyDescent="0.25">
      <c r="A241" s="118"/>
      <c r="B241" s="127">
        <v>343</v>
      </c>
      <c r="C241" s="13"/>
      <c r="D241" s="129" t="s">
        <v>187</v>
      </c>
      <c r="E241" s="180"/>
      <c r="F241" s="150"/>
      <c r="G241" s="151">
        <f>G242</f>
        <v>147.61000000000001</v>
      </c>
      <c r="H241" s="143"/>
    </row>
    <row r="242" spans="1:8" s="120" customFormat="1" ht="22.5" x14ac:dyDescent="0.25">
      <c r="A242" s="118"/>
      <c r="B242" s="43">
        <v>3431</v>
      </c>
      <c r="C242" s="13"/>
      <c r="D242" s="128" t="s">
        <v>188</v>
      </c>
      <c r="E242" s="180"/>
      <c r="F242" s="150"/>
      <c r="G242" s="150">
        <v>147.61000000000001</v>
      </c>
      <c r="H242" s="143"/>
    </row>
    <row r="243" spans="1:8" s="120" customFormat="1" x14ac:dyDescent="0.25">
      <c r="A243" s="118"/>
      <c r="B243" s="43"/>
      <c r="C243" s="115">
        <v>9241</v>
      </c>
      <c r="D243" s="115" t="s">
        <v>95</v>
      </c>
      <c r="E243" s="180"/>
      <c r="F243" s="119">
        <v>12.9</v>
      </c>
      <c r="G243" s="119">
        <f>G244</f>
        <v>12.9</v>
      </c>
      <c r="H243" s="143">
        <f t="shared" ref="H243" si="10">(G243/F243)*100</f>
        <v>100</v>
      </c>
    </row>
    <row r="244" spans="1:8" s="120" customFormat="1" x14ac:dyDescent="0.25">
      <c r="A244" s="118"/>
      <c r="B244" s="127">
        <v>343</v>
      </c>
      <c r="C244" s="13"/>
      <c r="D244" s="129" t="s">
        <v>187</v>
      </c>
      <c r="E244" s="180"/>
      <c r="F244" s="150"/>
      <c r="G244" s="151">
        <f>G245</f>
        <v>12.9</v>
      </c>
      <c r="H244" s="143"/>
    </row>
    <row r="245" spans="1:8" s="120" customFormat="1" ht="22.5" x14ac:dyDescent="0.25">
      <c r="A245" s="118"/>
      <c r="B245" s="43">
        <v>3431</v>
      </c>
      <c r="C245" s="13"/>
      <c r="D245" s="128" t="s">
        <v>188</v>
      </c>
      <c r="E245" s="180"/>
      <c r="F245" s="150"/>
      <c r="G245" s="150">
        <v>12.9</v>
      </c>
      <c r="H245" s="143"/>
    </row>
    <row r="246" spans="1:8" ht="25.5" x14ac:dyDescent="0.25">
      <c r="A246" s="39"/>
      <c r="B246" s="39">
        <v>37</v>
      </c>
      <c r="C246" s="40"/>
      <c r="D246" s="41" t="s">
        <v>44</v>
      </c>
      <c r="E246" s="41"/>
      <c r="F246" s="58">
        <f>F247+F251+F252+F253+F256+F260</f>
        <v>133408.53</v>
      </c>
      <c r="G246" s="58">
        <f>G247+G251+G252+G253+G256+G260</f>
        <v>99816.94</v>
      </c>
      <c r="H246" s="134">
        <f>(G246/F246)*100</f>
        <v>74.820508103942089</v>
      </c>
    </row>
    <row r="247" spans="1:8" s="120" customFormat="1" x14ac:dyDescent="0.25">
      <c r="A247" s="118"/>
      <c r="B247" s="118"/>
      <c r="C247" s="115">
        <v>11</v>
      </c>
      <c r="D247" s="115" t="s">
        <v>17</v>
      </c>
      <c r="E247" s="115"/>
      <c r="F247" s="119">
        <f>53.1+58000</f>
        <v>58053.1</v>
      </c>
      <c r="G247" s="119">
        <f>G248</f>
        <v>51757.909999999996</v>
      </c>
      <c r="H247" s="137">
        <f>(G247/F247)*100</f>
        <v>89.156151867858895</v>
      </c>
    </row>
    <row r="248" spans="1:8" s="120" customFormat="1" ht="22.5" x14ac:dyDescent="0.25">
      <c r="A248" s="118"/>
      <c r="B248" s="25">
        <v>372</v>
      </c>
      <c r="C248" s="13"/>
      <c r="D248" s="128" t="s">
        <v>190</v>
      </c>
      <c r="E248" s="180"/>
      <c r="F248" s="150"/>
      <c r="G248" s="151">
        <f>G249+G250</f>
        <v>51757.909999999996</v>
      </c>
      <c r="H248" s="137"/>
    </row>
    <row r="249" spans="1:8" s="120" customFormat="1" ht="22.5" x14ac:dyDescent="0.25">
      <c r="A249" s="118"/>
      <c r="B249" s="12">
        <v>3721</v>
      </c>
      <c r="C249" s="13"/>
      <c r="D249" s="128" t="s">
        <v>191</v>
      </c>
      <c r="E249" s="180"/>
      <c r="F249" s="150"/>
      <c r="G249" s="150">
        <v>53.1</v>
      </c>
      <c r="H249" s="137"/>
    </row>
    <row r="250" spans="1:8" s="120" customFormat="1" ht="22.5" x14ac:dyDescent="0.25">
      <c r="A250" s="118"/>
      <c r="B250" s="12">
        <v>3722</v>
      </c>
      <c r="C250" s="13"/>
      <c r="D250" s="128" t="s">
        <v>192</v>
      </c>
      <c r="E250" s="180"/>
      <c r="F250" s="150"/>
      <c r="G250" s="150">
        <v>51704.81</v>
      </c>
      <c r="H250" s="137"/>
    </row>
    <row r="251" spans="1:8" s="120" customFormat="1" x14ac:dyDescent="0.25">
      <c r="A251" s="118"/>
      <c r="B251" s="118"/>
      <c r="C251" s="115">
        <v>31</v>
      </c>
      <c r="D251" s="115" t="s">
        <v>52</v>
      </c>
      <c r="E251" s="115"/>
      <c r="F251" s="119">
        <v>39.82</v>
      </c>
      <c r="G251" s="119">
        <v>0</v>
      </c>
      <c r="H251" s="137">
        <f t="shared" ref="H251:H256" si="11">(G251/F251)*100</f>
        <v>0</v>
      </c>
    </row>
    <row r="252" spans="1:8" s="120" customFormat="1" x14ac:dyDescent="0.25">
      <c r="A252" s="118"/>
      <c r="B252" s="118"/>
      <c r="C252" s="115">
        <v>9231</v>
      </c>
      <c r="D252" s="115" t="s">
        <v>93</v>
      </c>
      <c r="E252" s="115"/>
      <c r="F252" s="119"/>
      <c r="G252" s="119">
        <v>0</v>
      </c>
      <c r="H252" s="137" t="e">
        <f t="shared" si="11"/>
        <v>#DIV/0!</v>
      </c>
    </row>
    <row r="253" spans="1:8" s="120" customFormat="1" x14ac:dyDescent="0.25">
      <c r="A253" s="118"/>
      <c r="B253" s="118"/>
      <c r="C253" s="115">
        <v>41</v>
      </c>
      <c r="D253" s="115" t="s">
        <v>50</v>
      </c>
      <c r="E253" s="115"/>
      <c r="F253" s="119">
        <v>1123.56</v>
      </c>
      <c r="G253" s="119">
        <f>G254</f>
        <v>868.39</v>
      </c>
      <c r="H253" s="137">
        <f t="shared" si="11"/>
        <v>77.289152337213864</v>
      </c>
    </row>
    <row r="254" spans="1:8" s="120" customFormat="1" ht="22.5" x14ac:dyDescent="0.25">
      <c r="A254" s="118"/>
      <c r="B254" s="25">
        <v>372</v>
      </c>
      <c r="C254" s="13"/>
      <c r="D254" s="128" t="s">
        <v>190</v>
      </c>
      <c r="E254" s="180"/>
      <c r="F254" s="150"/>
      <c r="G254" s="151">
        <f>G255</f>
        <v>868.39</v>
      </c>
      <c r="H254" s="137"/>
    </row>
    <row r="255" spans="1:8" s="120" customFormat="1" ht="22.5" x14ac:dyDescent="0.25">
      <c r="A255" s="118"/>
      <c r="B255" s="12">
        <v>3722</v>
      </c>
      <c r="C255" s="13"/>
      <c r="D255" s="128" t="s">
        <v>192</v>
      </c>
      <c r="E255" s="180"/>
      <c r="F255" s="150"/>
      <c r="G255" s="150">
        <v>868.39</v>
      </c>
      <c r="H255" s="137"/>
    </row>
    <row r="256" spans="1:8" s="120" customFormat="1" x14ac:dyDescent="0.25">
      <c r="A256" s="118"/>
      <c r="B256" s="118"/>
      <c r="C256" s="115">
        <v>57</v>
      </c>
      <c r="D256" s="115" t="s">
        <v>51</v>
      </c>
      <c r="E256" s="115"/>
      <c r="F256" s="119">
        <v>74192.05</v>
      </c>
      <c r="G256" s="119">
        <f>G257</f>
        <v>47190.64</v>
      </c>
      <c r="H256" s="137">
        <f t="shared" si="11"/>
        <v>63.606060218042224</v>
      </c>
    </row>
    <row r="257" spans="1:8" ht="22.5" x14ac:dyDescent="0.25">
      <c r="A257" s="12"/>
      <c r="B257" s="25">
        <v>372</v>
      </c>
      <c r="C257" s="13"/>
      <c r="D257" s="128" t="s">
        <v>190</v>
      </c>
      <c r="E257" s="13"/>
      <c r="F257" s="55"/>
      <c r="G257" s="121">
        <f>G258+G259</f>
        <v>47190.64</v>
      </c>
      <c r="H257" s="136"/>
    </row>
    <row r="258" spans="1:8" ht="22.5" x14ac:dyDescent="0.25">
      <c r="A258" s="12"/>
      <c r="B258" s="12">
        <v>3721</v>
      </c>
      <c r="C258" s="13"/>
      <c r="D258" s="128" t="s">
        <v>191</v>
      </c>
      <c r="E258" s="13"/>
      <c r="F258" s="55"/>
      <c r="G258" s="55">
        <v>1390.13</v>
      </c>
      <c r="H258" s="136"/>
    </row>
    <row r="259" spans="1:8" ht="22.5" x14ac:dyDescent="0.25">
      <c r="A259" s="12"/>
      <c r="B259" s="12">
        <v>3722</v>
      </c>
      <c r="C259" s="13"/>
      <c r="D259" s="128" t="s">
        <v>192</v>
      </c>
      <c r="E259" s="13"/>
      <c r="F259" s="55"/>
      <c r="G259" s="55">
        <v>45800.51</v>
      </c>
      <c r="H259" s="136"/>
    </row>
    <row r="260" spans="1:8" s="120" customFormat="1" x14ac:dyDescent="0.25">
      <c r="A260" s="118"/>
      <c r="B260" s="125"/>
      <c r="C260" s="115">
        <v>9257</v>
      </c>
      <c r="D260" s="115" t="s">
        <v>96</v>
      </c>
      <c r="E260" s="115"/>
      <c r="F260" s="119"/>
      <c r="G260" s="119"/>
      <c r="H260" s="137"/>
    </row>
    <row r="261" spans="1:8" x14ac:dyDescent="0.25">
      <c r="A261" s="39"/>
      <c r="B261" s="39">
        <v>38</v>
      </c>
      <c r="C261" s="40"/>
      <c r="D261" s="41" t="s">
        <v>124</v>
      </c>
      <c r="E261" s="41"/>
      <c r="F261" s="58">
        <f>F262</f>
        <v>2423.9499999999998</v>
      </c>
      <c r="G261" s="58">
        <f>G262</f>
        <v>2423.9499999999998</v>
      </c>
      <c r="H261" s="134">
        <f>H262</f>
        <v>100</v>
      </c>
    </row>
    <row r="262" spans="1:8" s="120" customFormat="1" x14ac:dyDescent="0.25">
      <c r="A262" s="118"/>
      <c r="B262" s="125"/>
      <c r="C262" s="115">
        <v>57</v>
      </c>
      <c r="D262" s="115" t="s">
        <v>51</v>
      </c>
      <c r="E262" s="115"/>
      <c r="F262" s="119">
        <v>2423.9499999999998</v>
      </c>
      <c r="G262" s="119">
        <f>G263</f>
        <v>2423.9499999999998</v>
      </c>
      <c r="H262" s="137">
        <f t="shared" ref="H262" si="12">(G262/F262)*100</f>
        <v>100</v>
      </c>
    </row>
    <row r="263" spans="1:8" s="120" customFormat="1" x14ac:dyDescent="0.25">
      <c r="A263" s="118"/>
      <c r="B263" s="182">
        <v>3812</v>
      </c>
      <c r="C263" s="180"/>
      <c r="D263" s="129" t="s">
        <v>202</v>
      </c>
      <c r="E263" s="180"/>
      <c r="F263" s="150"/>
      <c r="G263" s="150">
        <v>2423.9499999999998</v>
      </c>
      <c r="H263" s="137"/>
    </row>
    <row r="264" spans="1:8" ht="25.5" x14ac:dyDescent="0.25">
      <c r="A264" s="46">
        <v>4</v>
      </c>
      <c r="B264" s="47"/>
      <c r="C264" s="47"/>
      <c r="D264" s="48" t="s">
        <v>21</v>
      </c>
      <c r="E264" s="48"/>
      <c r="F264" s="61">
        <f>F265+F294</f>
        <v>81995.400000000009</v>
      </c>
      <c r="G264" s="61">
        <f>G265+G294</f>
        <v>78550.100000000006</v>
      </c>
      <c r="H264" s="141"/>
    </row>
    <row r="265" spans="1:8" ht="25.5" x14ac:dyDescent="0.25">
      <c r="A265" s="38"/>
      <c r="B265" s="38">
        <v>42</v>
      </c>
      <c r="C265" s="38"/>
      <c r="D265" s="42" t="s">
        <v>37</v>
      </c>
      <c r="E265" s="42"/>
      <c r="F265" s="58">
        <f>F266+F273+F274+F277+F281+F285+F291</f>
        <v>47192.900000000009</v>
      </c>
      <c r="G265" s="58">
        <f>G266+G273+G274+G277+G281+G285+G291</f>
        <v>43747.6</v>
      </c>
      <c r="H265" s="134">
        <f>(G265/F265)*100</f>
        <v>92.699537430418545</v>
      </c>
    </row>
    <row r="266" spans="1:8" s="120" customFormat="1" x14ac:dyDescent="0.25">
      <c r="A266" s="126"/>
      <c r="B266" s="126"/>
      <c r="C266" s="115">
        <v>11</v>
      </c>
      <c r="D266" s="115" t="s">
        <v>17</v>
      </c>
      <c r="E266" s="115"/>
      <c r="F266" s="119">
        <f>10240.97+7400</f>
        <v>17640.97</v>
      </c>
      <c r="G266" s="119">
        <f>G267+G271</f>
        <v>17593.909999999996</v>
      </c>
      <c r="H266" s="137">
        <f t="shared" ref="H266:H291" si="13">(G266/F266)*100</f>
        <v>99.733234623719653</v>
      </c>
    </row>
    <row r="267" spans="1:8" s="120" customFormat="1" x14ac:dyDescent="0.25">
      <c r="A267" s="126"/>
      <c r="B267" s="11">
        <v>422</v>
      </c>
      <c r="C267" s="13"/>
      <c r="D267" s="129" t="s">
        <v>193</v>
      </c>
      <c r="E267" s="115"/>
      <c r="F267" s="119"/>
      <c r="G267" s="151">
        <f>G268+G269+G270</f>
        <v>17195.739999999998</v>
      </c>
      <c r="H267" s="137"/>
    </row>
    <row r="268" spans="1:8" s="120" customFormat="1" x14ac:dyDescent="0.25">
      <c r="A268" s="126"/>
      <c r="B268" s="14">
        <v>4221</v>
      </c>
      <c r="C268" s="13"/>
      <c r="D268" s="129" t="s">
        <v>194</v>
      </c>
      <c r="E268" s="115"/>
      <c r="F268" s="119"/>
      <c r="G268" s="150">
        <f>8555.05+1723.75</f>
        <v>10278.799999999999</v>
      </c>
      <c r="H268" s="137"/>
    </row>
    <row r="269" spans="1:8" s="120" customFormat="1" x14ac:dyDescent="0.25">
      <c r="A269" s="126"/>
      <c r="B269" s="14">
        <v>4223</v>
      </c>
      <c r="C269" s="13"/>
      <c r="D269" s="130" t="s">
        <v>196</v>
      </c>
      <c r="E269" s="115"/>
      <c r="F269" s="119"/>
      <c r="G269" s="150">
        <v>1287.75</v>
      </c>
      <c r="H269" s="137"/>
    </row>
    <row r="270" spans="1:8" s="120" customFormat="1" ht="22.5" x14ac:dyDescent="0.25">
      <c r="A270" s="126"/>
      <c r="B270" s="14">
        <v>4227</v>
      </c>
      <c r="C270" s="13"/>
      <c r="D270" s="128" t="s">
        <v>195</v>
      </c>
      <c r="E270" s="115"/>
      <c r="F270" s="119"/>
      <c r="G270" s="150">
        <f>5629.19</f>
        <v>5629.19</v>
      </c>
      <c r="H270" s="137"/>
    </row>
    <row r="271" spans="1:8" s="120" customFormat="1" ht="22.5" x14ac:dyDescent="0.25">
      <c r="A271" s="126"/>
      <c r="B271" s="11">
        <v>424</v>
      </c>
      <c r="C271" s="13"/>
      <c r="D271" s="128" t="s">
        <v>197</v>
      </c>
      <c r="E271" s="115"/>
      <c r="F271" s="119"/>
      <c r="G271" s="151">
        <f>G272</f>
        <v>398.17</v>
      </c>
      <c r="H271" s="137"/>
    </row>
    <row r="272" spans="1:8" s="120" customFormat="1" x14ac:dyDescent="0.25">
      <c r="A272" s="126"/>
      <c r="B272" s="14">
        <v>4241</v>
      </c>
      <c r="C272" s="13"/>
      <c r="D272" s="129" t="s">
        <v>198</v>
      </c>
      <c r="E272" s="115"/>
      <c r="F272" s="119"/>
      <c r="G272" s="150">
        <v>398.17</v>
      </c>
      <c r="H272" s="137"/>
    </row>
    <row r="273" spans="1:8" s="120" customFormat="1" x14ac:dyDescent="0.25">
      <c r="A273" s="126"/>
      <c r="B273" s="126"/>
      <c r="C273" s="115">
        <v>31</v>
      </c>
      <c r="D273" s="115" t="s">
        <v>52</v>
      </c>
      <c r="E273" s="115"/>
      <c r="F273" s="119">
        <v>1924.49</v>
      </c>
      <c r="G273" s="119">
        <v>0</v>
      </c>
      <c r="H273" s="137">
        <f t="shared" si="13"/>
        <v>0</v>
      </c>
    </row>
    <row r="274" spans="1:8" s="120" customFormat="1" x14ac:dyDescent="0.25">
      <c r="A274" s="126"/>
      <c r="B274" s="126"/>
      <c r="C274" s="115">
        <v>9231</v>
      </c>
      <c r="D274" s="115" t="s">
        <v>93</v>
      </c>
      <c r="E274" s="115"/>
      <c r="F274" s="119">
        <v>1388</v>
      </c>
      <c r="G274" s="119">
        <f>G275</f>
        <v>1388</v>
      </c>
      <c r="H274" s="137">
        <f t="shared" si="13"/>
        <v>100</v>
      </c>
    </row>
    <row r="275" spans="1:8" x14ac:dyDescent="0.25">
      <c r="A275" s="14"/>
      <c r="B275" s="11">
        <v>422</v>
      </c>
      <c r="C275" s="13"/>
      <c r="D275" s="129" t="s">
        <v>193</v>
      </c>
      <c r="E275" s="13"/>
      <c r="F275" s="55"/>
      <c r="G275" s="121">
        <f>G276</f>
        <v>1388</v>
      </c>
      <c r="H275" s="137"/>
    </row>
    <row r="276" spans="1:8" x14ac:dyDescent="0.25">
      <c r="A276" s="14"/>
      <c r="B276" s="14">
        <v>4221</v>
      </c>
      <c r="C276" s="13"/>
      <c r="D276" s="129" t="s">
        <v>194</v>
      </c>
      <c r="E276" s="13"/>
      <c r="F276" s="55"/>
      <c r="G276" s="55">
        <v>1388</v>
      </c>
      <c r="H276" s="137"/>
    </row>
    <row r="277" spans="1:8" s="120" customFormat="1" x14ac:dyDescent="0.25">
      <c r="A277" s="126"/>
      <c r="B277" s="126"/>
      <c r="C277" s="115">
        <v>41</v>
      </c>
      <c r="D277" s="115" t="s">
        <v>50</v>
      </c>
      <c r="E277" s="115"/>
      <c r="F277" s="119">
        <v>13400</v>
      </c>
      <c r="G277" s="119">
        <f>G278</f>
        <v>13251.32</v>
      </c>
      <c r="H277" s="137">
        <f t="shared" si="13"/>
        <v>98.890447761194025</v>
      </c>
    </row>
    <row r="278" spans="1:8" x14ac:dyDescent="0.25">
      <c r="A278" s="14"/>
      <c r="B278" s="11">
        <v>422</v>
      </c>
      <c r="C278" s="13"/>
      <c r="D278" s="129" t="s">
        <v>193</v>
      </c>
      <c r="E278" s="13"/>
      <c r="F278" s="55"/>
      <c r="G278" s="121">
        <f>G279+G280</f>
        <v>13251.32</v>
      </c>
      <c r="H278" s="137"/>
    </row>
    <row r="279" spans="1:8" x14ac:dyDescent="0.25">
      <c r="A279" s="14"/>
      <c r="B279" s="14">
        <v>4221</v>
      </c>
      <c r="C279" s="13"/>
      <c r="D279" s="129" t="s">
        <v>194</v>
      </c>
      <c r="E279" s="13"/>
      <c r="F279" s="55"/>
      <c r="G279" s="55">
        <v>2151.0700000000002</v>
      </c>
      <c r="H279" s="137"/>
    </row>
    <row r="280" spans="1:8" ht="22.5" x14ac:dyDescent="0.25">
      <c r="A280" s="14"/>
      <c r="B280" s="14">
        <v>4227</v>
      </c>
      <c r="C280" s="13"/>
      <c r="D280" s="128" t="s">
        <v>195</v>
      </c>
      <c r="E280" s="13"/>
      <c r="F280" s="55"/>
      <c r="G280" s="55">
        <v>11100.25</v>
      </c>
      <c r="H280" s="137"/>
    </row>
    <row r="281" spans="1:8" s="120" customFormat="1" x14ac:dyDescent="0.25">
      <c r="A281" s="126"/>
      <c r="B281" s="126"/>
      <c r="C281" s="115">
        <v>9241</v>
      </c>
      <c r="D281" s="122" t="s">
        <v>95</v>
      </c>
      <c r="E281" s="122"/>
      <c r="F281" s="119">
        <v>6008.93</v>
      </c>
      <c r="G281" s="119">
        <f>G282</f>
        <v>6008.93</v>
      </c>
      <c r="H281" s="137">
        <f t="shared" si="13"/>
        <v>100</v>
      </c>
    </row>
    <row r="282" spans="1:8" x14ac:dyDescent="0.25">
      <c r="A282" s="14"/>
      <c r="B282" s="11">
        <v>422</v>
      </c>
      <c r="C282" s="13"/>
      <c r="D282" s="129" t="s">
        <v>193</v>
      </c>
      <c r="E282" s="59"/>
      <c r="F282" s="55"/>
      <c r="G282" s="121">
        <f>G283+G284</f>
        <v>6008.93</v>
      </c>
      <c r="H282" s="137"/>
    </row>
    <row r="283" spans="1:8" x14ac:dyDescent="0.25">
      <c r="A283" s="14"/>
      <c r="B283" s="14">
        <v>4221</v>
      </c>
      <c r="C283" s="13"/>
      <c r="D283" s="129" t="s">
        <v>194</v>
      </c>
      <c r="E283" s="59"/>
      <c r="F283" s="55"/>
      <c r="G283" s="55">
        <v>2723.93</v>
      </c>
      <c r="H283" s="137"/>
    </row>
    <row r="284" spans="1:8" ht="22.5" x14ac:dyDescent="0.25">
      <c r="A284" s="14"/>
      <c r="B284" s="14">
        <v>4227</v>
      </c>
      <c r="C284" s="13"/>
      <c r="D284" s="128" t="s">
        <v>195</v>
      </c>
      <c r="E284" s="59"/>
      <c r="F284" s="55"/>
      <c r="G284" s="55">
        <v>3285</v>
      </c>
      <c r="H284" s="137"/>
    </row>
    <row r="285" spans="1:8" s="120" customFormat="1" x14ac:dyDescent="0.25">
      <c r="A285" s="126"/>
      <c r="B285" s="126"/>
      <c r="C285" s="115">
        <v>6103</v>
      </c>
      <c r="D285" s="115" t="s">
        <v>53</v>
      </c>
      <c r="E285" s="115"/>
      <c r="F285" s="119">
        <v>2127.23</v>
      </c>
      <c r="G285" s="119">
        <f>G286+G289</f>
        <v>1767.83</v>
      </c>
      <c r="H285" s="137">
        <f t="shared" si="13"/>
        <v>83.104788856870186</v>
      </c>
    </row>
    <row r="286" spans="1:8" x14ac:dyDescent="0.25">
      <c r="A286" s="14"/>
      <c r="B286" s="11">
        <v>422</v>
      </c>
      <c r="C286" s="13"/>
      <c r="D286" s="129" t="s">
        <v>193</v>
      </c>
      <c r="E286" s="13"/>
      <c r="F286" s="55"/>
      <c r="G286" s="121">
        <f>G287+G288</f>
        <v>1698.53</v>
      </c>
      <c r="H286" s="137"/>
    </row>
    <row r="287" spans="1:8" x14ac:dyDescent="0.25">
      <c r="A287" s="14"/>
      <c r="B287" s="14">
        <v>4223</v>
      </c>
      <c r="C287" s="13"/>
      <c r="D287" s="130" t="s">
        <v>196</v>
      </c>
      <c r="E287" s="13"/>
      <c r="F287" s="55"/>
      <c r="G287" s="55">
        <v>800</v>
      </c>
      <c r="H287" s="137"/>
    </row>
    <row r="288" spans="1:8" ht="22.5" x14ac:dyDescent="0.25">
      <c r="A288" s="14"/>
      <c r="B288" s="14">
        <v>4227</v>
      </c>
      <c r="C288" s="13"/>
      <c r="D288" s="128" t="s">
        <v>195</v>
      </c>
      <c r="E288" s="13"/>
      <c r="F288" s="55"/>
      <c r="G288" s="55">
        <v>898.53</v>
      </c>
      <c r="H288" s="137"/>
    </row>
    <row r="289" spans="1:8" ht="22.5" x14ac:dyDescent="0.25">
      <c r="A289" s="14"/>
      <c r="B289" s="11">
        <v>424</v>
      </c>
      <c r="C289" s="13"/>
      <c r="D289" s="128" t="s">
        <v>197</v>
      </c>
      <c r="E289" s="13"/>
      <c r="F289" s="55"/>
      <c r="G289" s="121">
        <f>G290</f>
        <v>69.3</v>
      </c>
      <c r="H289" s="137"/>
    </row>
    <row r="290" spans="1:8" x14ac:dyDescent="0.25">
      <c r="A290" s="14"/>
      <c r="B290" s="14">
        <v>4241</v>
      </c>
      <c r="C290" s="13"/>
      <c r="D290" s="129" t="s">
        <v>198</v>
      </c>
      <c r="E290" s="13"/>
      <c r="F290" s="55"/>
      <c r="G290" s="55">
        <v>69.3</v>
      </c>
      <c r="H290" s="137"/>
    </row>
    <row r="291" spans="1:8" s="120" customFormat="1" x14ac:dyDescent="0.25">
      <c r="A291" s="126"/>
      <c r="B291" s="126"/>
      <c r="C291" s="115">
        <v>57</v>
      </c>
      <c r="D291" s="115" t="s">
        <v>51</v>
      </c>
      <c r="E291" s="115"/>
      <c r="F291" s="119">
        <v>4703.28</v>
      </c>
      <c r="G291" s="119">
        <f>G292</f>
        <v>3737.61</v>
      </c>
      <c r="H291" s="137">
        <f t="shared" si="13"/>
        <v>79.468158391590563</v>
      </c>
    </row>
    <row r="292" spans="1:8" ht="22.5" x14ac:dyDescent="0.25">
      <c r="A292" s="14"/>
      <c r="B292" s="11">
        <v>424</v>
      </c>
      <c r="C292" s="13"/>
      <c r="D292" s="128" t="s">
        <v>197</v>
      </c>
      <c r="E292" s="13"/>
      <c r="F292" s="55"/>
      <c r="G292" s="121">
        <f>G293</f>
        <v>3737.61</v>
      </c>
      <c r="H292" s="144"/>
    </row>
    <row r="293" spans="1:8" x14ac:dyDescent="0.25">
      <c r="A293" s="14"/>
      <c r="B293" s="14">
        <v>4241</v>
      </c>
      <c r="C293" s="13"/>
      <c r="D293" s="129" t="s">
        <v>198</v>
      </c>
      <c r="E293" s="13"/>
      <c r="F293" s="55"/>
      <c r="G293" s="55">
        <v>3737.61</v>
      </c>
      <c r="H293" s="144"/>
    </row>
    <row r="294" spans="1:8" ht="25.5" x14ac:dyDescent="0.25">
      <c r="A294" s="38"/>
      <c r="B294" s="38">
        <v>45</v>
      </c>
      <c r="C294" s="38"/>
      <c r="D294" s="42" t="s">
        <v>45</v>
      </c>
      <c r="E294" s="42"/>
      <c r="F294" s="58">
        <f t="shared" ref="F294" si="14">SUM(F295:F297)</f>
        <v>34802.5</v>
      </c>
      <c r="G294" s="58">
        <f>G295</f>
        <v>34802.5</v>
      </c>
      <c r="H294" s="134">
        <f>(G294/F294)*100</f>
        <v>100</v>
      </c>
    </row>
    <row r="295" spans="1:8" s="120" customFormat="1" x14ac:dyDescent="0.25">
      <c r="A295" s="126"/>
      <c r="B295" s="126"/>
      <c r="C295" s="115">
        <v>11</v>
      </c>
      <c r="D295" s="115" t="s">
        <v>17</v>
      </c>
      <c r="E295" s="115"/>
      <c r="F295" s="119">
        <v>34802.5</v>
      </c>
      <c r="G295" s="119">
        <f>G296</f>
        <v>34802.5</v>
      </c>
      <c r="H295" s="137">
        <f t="shared" ref="H295" si="15">(G295/F295)*100</f>
        <v>100</v>
      </c>
    </row>
    <row r="296" spans="1:8" ht="22.5" x14ac:dyDescent="0.25">
      <c r="A296" s="14"/>
      <c r="B296" s="11">
        <v>451</v>
      </c>
      <c r="C296" s="13"/>
      <c r="D296" s="128" t="s">
        <v>199</v>
      </c>
      <c r="E296" s="13"/>
      <c r="F296" s="55"/>
      <c r="G296" s="121">
        <f>G297</f>
        <v>34802.5</v>
      </c>
      <c r="H296" s="144"/>
    </row>
    <row r="297" spans="1:8" ht="22.5" x14ac:dyDescent="0.25">
      <c r="A297" s="14"/>
      <c r="B297" s="14">
        <v>4511</v>
      </c>
      <c r="C297" s="13"/>
      <c r="D297" s="128" t="s">
        <v>199</v>
      </c>
      <c r="E297" s="13"/>
      <c r="F297" s="55"/>
      <c r="G297" s="55">
        <v>34802.5</v>
      </c>
      <c r="H297" s="144"/>
    </row>
  </sheetData>
  <mergeCells count="11">
    <mergeCell ref="A1:H1"/>
    <mergeCell ref="A10:D10"/>
    <mergeCell ref="A53:D53"/>
    <mergeCell ref="A81:D81"/>
    <mergeCell ref="A7:H7"/>
    <mergeCell ref="A78:H78"/>
    <mergeCell ref="A3:H3"/>
    <mergeCell ref="A5:H5"/>
    <mergeCell ref="A50:H50"/>
    <mergeCell ref="A64:H64"/>
    <mergeCell ref="A67:D6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zoomScale="130" zoomScaleNormal="130" workbookViewId="0">
      <selection activeCell="J32" sqref="J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25.28515625" customWidth="1"/>
    <col min="4" max="4" width="15.42578125" customWidth="1"/>
    <col min="5" max="7" width="25.28515625" customWidth="1"/>
  </cols>
  <sheetData>
    <row r="1" spans="1:8" ht="42" customHeight="1" x14ac:dyDescent="0.25">
      <c r="A1" s="204" t="s">
        <v>200</v>
      </c>
      <c r="B1" s="204"/>
      <c r="C1" s="204"/>
      <c r="D1" s="204"/>
      <c r="E1" s="204"/>
      <c r="F1" s="204"/>
      <c r="G1" s="204"/>
      <c r="H1" s="204"/>
    </row>
    <row r="2" spans="1:8" ht="18" customHeight="1" x14ac:dyDescent="0.25">
      <c r="A2" s="24"/>
      <c r="B2" s="24"/>
      <c r="C2" s="24"/>
      <c r="D2" s="24"/>
      <c r="E2" s="24"/>
      <c r="F2" s="24"/>
      <c r="G2" s="24"/>
    </row>
    <row r="3" spans="1:8" ht="15.75" customHeight="1" x14ac:dyDescent="0.25">
      <c r="A3" s="207" t="s">
        <v>26</v>
      </c>
      <c r="B3" s="207"/>
      <c r="C3" s="207"/>
      <c r="D3" s="207"/>
      <c r="E3" s="207"/>
      <c r="F3" s="207"/>
      <c r="G3" s="207"/>
    </row>
    <row r="4" spans="1:8" ht="18" x14ac:dyDescent="0.25">
      <c r="A4" s="24"/>
      <c r="B4" s="24"/>
      <c r="C4" s="24"/>
      <c r="D4" s="24"/>
      <c r="E4" s="24"/>
      <c r="F4" s="24"/>
      <c r="G4" s="6"/>
    </row>
    <row r="5" spans="1:8" ht="18" customHeight="1" x14ac:dyDescent="0.25">
      <c r="A5" s="207" t="s">
        <v>12</v>
      </c>
      <c r="B5" s="207"/>
      <c r="C5" s="207"/>
      <c r="D5" s="207"/>
      <c r="E5" s="207"/>
      <c r="F5" s="207"/>
      <c r="G5" s="207"/>
    </row>
    <row r="6" spans="1:8" ht="18" x14ac:dyDescent="0.25">
      <c r="A6" s="24"/>
      <c r="B6" s="24"/>
      <c r="C6" s="24"/>
      <c r="D6" s="24"/>
      <c r="E6" s="24"/>
      <c r="F6" s="24"/>
      <c r="G6" s="6"/>
    </row>
    <row r="7" spans="1:8" ht="15.75" customHeight="1" x14ac:dyDescent="0.25">
      <c r="A7" s="207" t="s">
        <v>221</v>
      </c>
      <c r="B7" s="207"/>
      <c r="C7" s="207"/>
      <c r="D7" s="207"/>
      <c r="E7" s="207"/>
      <c r="F7" s="207"/>
      <c r="G7" s="207"/>
    </row>
    <row r="8" spans="1:8" ht="18" x14ac:dyDescent="0.25">
      <c r="A8" s="24"/>
      <c r="B8" s="24"/>
      <c r="C8" s="24"/>
      <c r="D8" s="24"/>
      <c r="E8" s="24"/>
      <c r="F8" s="24"/>
      <c r="G8" s="6"/>
    </row>
    <row r="9" spans="1:8" ht="38.25" x14ac:dyDescent="0.25">
      <c r="A9" s="20" t="s">
        <v>13</v>
      </c>
      <c r="B9" s="19" t="s">
        <v>14</v>
      </c>
      <c r="C9" s="19" t="s">
        <v>222</v>
      </c>
      <c r="D9" s="19" t="s">
        <v>128</v>
      </c>
      <c r="E9" s="20" t="s">
        <v>129</v>
      </c>
      <c r="F9" s="20" t="s">
        <v>130</v>
      </c>
      <c r="G9" s="20" t="s">
        <v>131</v>
      </c>
    </row>
    <row r="10" spans="1:8" x14ac:dyDescent="0.25">
      <c r="A10" s="185"/>
      <c r="B10" s="186"/>
      <c r="C10" s="187" t="s">
        <v>0</v>
      </c>
      <c r="D10" s="186"/>
      <c r="E10" s="188">
        <f>E11+E18</f>
        <v>3535816.5100000002</v>
      </c>
      <c r="F10" s="188">
        <f t="shared" ref="F10" si="0">F11+F18</f>
        <v>3399312.4499999997</v>
      </c>
      <c r="G10" s="188">
        <f>F10/E10*100</f>
        <v>96.139390728734369</v>
      </c>
    </row>
    <row r="11" spans="1:8" ht="15.75" customHeight="1" x14ac:dyDescent="0.25">
      <c r="A11" s="11">
        <v>6</v>
      </c>
      <c r="B11" s="11"/>
      <c r="C11" s="11" t="s">
        <v>16</v>
      </c>
      <c r="D11" s="189"/>
      <c r="E11" s="121">
        <f>SUM(E12:E17)</f>
        <v>3506955.08</v>
      </c>
      <c r="F11" s="121">
        <f t="shared" ref="F11" si="1">SUM(F12:F17)</f>
        <v>3375169.61</v>
      </c>
      <c r="G11" s="188">
        <f t="shared" ref="G11:G18" si="2">F11/E11*100</f>
        <v>96.242168291474101</v>
      </c>
    </row>
    <row r="12" spans="1:8" ht="38.25" x14ac:dyDescent="0.25">
      <c r="A12" s="37"/>
      <c r="B12" s="38">
        <v>63</v>
      </c>
      <c r="C12" s="38" t="s">
        <v>35</v>
      </c>
      <c r="D12" s="38"/>
      <c r="E12" s="58">
        <v>2928091.44</v>
      </c>
      <c r="F12" s="58">
        <v>2861876.89</v>
      </c>
      <c r="G12" s="188">
        <f t="shared" si="2"/>
        <v>97.738644733034704</v>
      </c>
    </row>
    <row r="13" spans="1:8" x14ac:dyDescent="0.25">
      <c r="A13" s="39"/>
      <c r="B13" s="39">
        <v>64</v>
      </c>
      <c r="C13" s="39" t="s">
        <v>40</v>
      </c>
      <c r="D13" s="39"/>
      <c r="E13" s="58">
        <v>92.9</v>
      </c>
      <c r="F13" s="58">
        <v>0.03</v>
      </c>
      <c r="G13" s="188">
        <f t="shared" si="2"/>
        <v>3.2292787944025833E-2</v>
      </c>
    </row>
    <row r="14" spans="1:8" ht="58.5" customHeight="1" x14ac:dyDescent="0.25">
      <c r="A14" s="39"/>
      <c r="B14" s="39">
        <v>65</v>
      </c>
      <c r="C14" s="41" t="s">
        <v>41</v>
      </c>
      <c r="D14" s="41"/>
      <c r="E14" s="58">
        <v>92654.45</v>
      </c>
      <c r="F14" s="58">
        <v>74263.25</v>
      </c>
      <c r="G14" s="188">
        <f t="shared" si="2"/>
        <v>80.15076448028131</v>
      </c>
    </row>
    <row r="15" spans="1:8" ht="38.25" x14ac:dyDescent="0.25">
      <c r="A15" s="39"/>
      <c r="B15" s="39">
        <v>66</v>
      </c>
      <c r="C15" s="41" t="s">
        <v>46</v>
      </c>
      <c r="D15" s="41"/>
      <c r="E15" s="58">
        <v>7278.09</v>
      </c>
      <c r="F15" s="58">
        <v>6449.55</v>
      </c>
      <c r="G15" s="188">
        <f t="shared" si="2"/>
        <v>88.615969299637669</v>
      </c>
    </row>
    <row r="16" spans="1:8" ht="38.25" x14ac:dyDescent="0.25">
      <c r="A16" s="39"/>
      <c r="B16" s="39">
        <v>67</v>
      </c>
      <c r="C16" s="38" t="s">
        <v>36</v>
      </c>
      <c r="D16" s="38"/>
      <c r="E16" s="58">
        <v>478705.48</v>
      </c>
      <c r="F16" s="58">
        <v>432579.89</v>
      </c>
      <c r="G16" s="188">
        <f t="shared" si="2"/>
        <v>90.364515985904319</v>
      </c>
    </row>
    <row r="17" spans="1:7" ht="25.5" x14ac:dyDescent="0.25">
      <c r="A17" s="39"/>
      <c r="B17" s="39">
        <v>68</v>
      </c>
      <c r="C17" s="41" t="s">
        <v>42</v>
      </c>
      <c r="D17" s="41"/>
      <c r="E17" s="58">
        <v>132.72</v>
      </c>
      <c r="F17" s="58">
        <v>0</v>
      </c>
      <c r="G17" s="188">
        <f t="shared" si="2"/>
        <v>0</v>
      </c>
    </row>
    <row r="18" spans="1:7" s="194" customFormat="1" x14ac:dyDescent="0.25">
      <c r="A18" s="190"/>
      <c r="B18" s="191">
        <v>92</v>
      </c>
      <c r="C18" s="192" t="s">
        <v>92</v>
      </c>
      <c r="D18" s="191"/>
      <c r="E18" s="193">
        <v>28861.43</v>
      </c>
      <c r="F18" s="193">
        <v>24142.84</v>
      </c>
      <c r="G18" s="188">
        <f t="shared" si="2"/>
        <v>83.650879391630966</v>
      </c>
    </row>
    <row r="20" spans="1:7" ht="15.75" x14ac:dyDescent="0.25">
      <c r="A20" s="207" t="s">
        <v>223</v>
      </c>
      <c r="B20" s="228"/>
      <c r="C20" s="228"/>
      <c r="D20" s="228"/>
      <c r="E20" s="228"/>
      <c r="F20" s="228"/>
      <c r="G20" s="228"/>
    </row>
    <row r="21" spans="1:7" ht="18" x14ac:dyDescent="0.25">
      <c r="A21" s="24"/>
      <c r="B21" s="24"/>
      <c r="C21" s="24"/>
      <c r="D21" s="24"/>
      <c r="E21" s="24"/>
      <c r="F21" s="24"/>
      <c r="G21" s="6"/>
    </row>
    <row r="22" spans="1:7" ht="38.25" x14ac:dyDescent="0.25">
      <c r="A22" s="20" t="s">
        <v>13</v>
      </c>
      <c r="B22" s="19" t="s">
        <v>14</v>
      </c>
      <c r="C22" s="19" t="s">
        <v>224</v>
      </c>
      <c r="D22" s="19" t="s">
        <v>128</v>
      </c>
      <c r="E22" s="20" t="s">
        <v>129</v>
      </c>
      <c r="F22" s="20" t="s">
        <v>130</v>
      </c>
      <c r="G22" s="20" t="s">
        <v>131</v>
      </c>
    </row>
    <row r="23" spans="1:7" x14ac:dyDescent="0.25">
      <c r="A23" s="185"/>
      <c r="B23" s="186"/>
      <c r="C23" s="187" t="s">
        <v>3</v>
      </c>
      <c r="D23" s="186"/>
      <c r="E23" s="188">
        <f>E24+E30</f>
        <v>3528354.2199999997</v>
      </c>
      <c r="F23" s="188">
        <f>F24+F30</f>
        <v>3382423.57</v>
      </c>
      <c r="G23" s="188">
        <f>F23/E23*100</f>
        <v>95.864058966279188</v>
      </c>
    </row>
    <row r="24" spans="1:7" ht="15.75" customHeight="1" x14ac:dyDescent="0.25">
      <c r="A24" s="11">
        <v>3</v>
      </c>
      <c r="B24" s="11"/>
      <c r="C24" s="11" t="s">
        <v>19</v>
      </c>
      <c r="D24" s="189"/>
      <c r="E24" s="121">
        <f>SUM(E25:E29)</f>
        <v>3446358.82</v>
      </c>
      <c r="F24" s="121">
        <f t="shared" ref="F24" si="3">SUM(F25:F29)</f>
        <v>3303873.4699999997</v>
      </c>
      <c r="G24" s="188">
        <f t="shared" ref="G24:G32" si="4">F24/E24*100</f>
        <v>95.865626377232545</v>
      </c>
    </row>
    <row r="25" spans="1:7" ht="21" customHeight="1" x14ac:dyDescent="0.25">
      <c r="A25" s="37"/>
      <c r="B25" s="38">
        <v>31</v>
      </c>
      <c r="C25" s="38" t="s">
        <v>20</v>
      </c>
      <c r="D25" s="38"/>
      <c r="E25" s="58">
        <v>2713146.64</v>
      </c>
      <c r="F25" s="58">
        <v>2672968.61</v>
      </c>
      <c r="G25" s="188">
        <f t="shared" si="4"/>
        <v>98.519135331365632</v>
      </c>
    </row>
    <row r="26" spans="1:7" x14ac:dyDescent="0.25">
      <c r="A26" s="39"/>
      <c r="B26" s="39">
        <v>32</v>
      </c>
      <c r="C26" s="39" t="s">
        <v>29</v>
      </c>
      <c r="D26" s="39"/>
      <c r="E26" s="58">
        <v>596214.49</v>
      </c>
      <c r="F26" s="58">
        <v>527710.38</v>
      </c>
      <c r="G26" s="188">
        <f t="shared" si="4"/>
        <v>88.510156806152096</v>
      </c>
    </row>
    <row r="27" spans="1:7" x14ac:dyDescent="0.25">
      <c r="A27" s="39"/>
      <c r="B27" s="39">
        <v>34</v>
      </c>
      <c r="C27" s="39" t="s">
        <v>43</v>
      </c>
      <c r="D27" s="39"/>
      <c r="E27" s="58">
        <v>1165.21</v>
      </c>
      <c r="F27" s="58">
        <v>953.59</v>
      </c>
      <c r="G27" s="188">
        <f t="shared" si="4"/>
        <v>81.838466885797416</v>
      </c>
    </row>
    <row r="28" spans="1:7" ht="38.25" x14ac:dyDescent="0.25">
      <c r="A28" s="39"/>
      <c r="B28" s="39">
        <v>37</v>
      </c>
      <c r="C28" s="41" t="s">
        <v>44</v>
      </c>
      <c r="D28" s="41"/>
      <c r="E28" s="58">
        <v>133408.53</v>
      </c>
      <c r="F28" s="58">
        <v>99816.94</v>
      </c>
      <c r="G28" s="188">
        <f t="shared" si="4"/>
        <v>74.820508103942089</v>
      </c>
    </row>
    <row r="29" spans="1:7" ht="25.5" x14ac:dyDescent="0.25">
      <c r="A29" s="39"/>
      <c r="B29" s="39">
        <v>38</v>
      </c>
      <c r="C29" s="41" t="s">
        <v>124</v>
      </c>
      <c r="D29" s="41"/>
      <c r="E29" s="58">
        <v>2423.9499999999998</v>
      </c>
      <c r="F29" s="58">
        <v>2423.9499999999998</v>
      </c>
      <c r="G29" s="188">
        <f t="shared" si="4"/>
        <v>100</v>
      </c>
    </row>
    <row r="30" spans="1:7" ht="25.5" x14ac:dyDescent="0.25">
      <c r="A30" s="195">
        <v>4</v>
      </c>
      <c r="B30" s="196"/>
      <c r="C30" s="197" t="s">
        <v>21</v>
      </c>
      <c r="D30" s="189"/>
      <c r="E30" s="121">
        <f>E31+E32</f>
        <v>81995.399999999994</v>
      </c>
      <c r="F30" s="121">
        <f t="shared" ref="F30" si="5">F31+F32</f>
        <v>78550.100000000006</v>
      </c>
      <c r="G30" s="188">
        <f t="shared" si="4"/>
        <v>95.798178922232239</v>
      </c>
    </row>
    <row r="31" spans="1:7" ht="38.25" x14ac:dyDescent="0.25">
      <c r="A31" s="38"/>
      <c r="B31" s="38">
        <v>42</v>
      </c>
      <c r="C31" s="42" t="s">
        <v>37</v>
      </c>
      <c r="D31" s="42"/>
      <c r="E31" s="58">
        <v>47192.9</v>
      </c>
      <c r="F31" s="58">
        <v>43747.6</v>
      </c>
      <c r="G31" s="188">
        <f t="shared" si="4"/>
        <v>92.699537430418559</v>
      </c>
    </row>
    <row r="32" spans="1:7" ht="25.5" x14ac:dyDescent="0.25">
      <c r="A32" s="38"/>
      <c r="B32" s="38">
        <v>45</v>
      </c>
      <c r="C32" s="42" t="s">
        <v>45</v>
      </c>
      <c r="D32" s="42"/>
      <c r="E32" s="58">
        <v>34802.5</v>
      </c>
      <c r="F32" s="58">
        <v>34802.5</v>
      </c>
      <c r="G32" s="188">
        <f t="shared" si="4"/>
        <v>100</v>
      </c>
    </row>
  </sheetData>
  <mergeCells count="5">
    <mergeCell ref="A3:G3"/>
    <mergeCell ref="A5:G5"/>
    <mergeCell ref="A7:G7"/>
    <mergeCell ref="A20:G20"/>
    <mergeCell ref="A1:H1"/>
  </mergeCells>
  <pageMargins left="0.7" right="0.7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140" zoomScaleNormal="140" workbookViewId="0">
      <selection activeCell="K37" sqref="K3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5703125" customWidth="1"/>
    <col min="4" max="4" width="15.7109375" customWidth="1"/>
    <col min="5" max="7" width="25.28515625" customWidth="1"/>
  </cols>
  <sheetData>
    <row r="1" spans="1:8" ht="42" customHeight="1" x14ac:dyDescent="0.25">
      <c r="A1" s="204" t="s">
        <v>200</v>
      </c>
      <c r="B1" s="204"/>
      <c r="C1" s="204"/>
      <c r="D1" s="204"/>
      <c r="E1" s="204"/>
      <c r="F1" s="204"/>
      <c r="G1" s="204"/>
    </row>
    <row r="2" spans="1:8" ht="18" customHeight="1" x14ac:dyDescent="0.25">
      <c r="A2" s="24"/>
      <c r="B2" s="24"/>
      <c r="C2" s="24"/>
      <c r="D2" s="24"/>
      <c r="E2" s="24"/>
      <c r="F2" s="24"/>
      <c r="G2" s="24"/>
    </row>
    <row r="3" spans="1:8" ht="15.75" x14ac:dyDescent="0.25">
      <c r="A3" s="207" t="s">
        <v>26</v>
      </c>
      <c r="B3" s="207"/>
      <c r="C3" s="207"/>
      <c r="D3" s="207"/>
      <c r="E3" s="207"/>
      <c r="F3" s="207"/>
      <c r="G3" s="209"/>
    </row>
    <row r="4" spans="1:8" ht="18" x14ac:dyDescent="0.25">
      <c r="A4" s="24"/>
      <c r="B4" s="24"/>
      <c r="C4" s="24"/>
      <c r="D4" s="24"/>
      <c r="E4" s="24"/>
      <c r="F4" s="24"/>
      <c r="G4" s="6"/>
    </row>
    <row r="5" spans="1:8" ht="18" customHeight="1" x14ac:dyDescent="0.25">
      <c r="A5" s="207" t="s">
        <v>225</v>
      </c>
      <c r="B5" s="208"/>
      <c r="C5" s="208"/>
      <c r="D5" s="208"/>
      <c r="E5" s="208"/>
      <c r="F5" s="208"/>
      <c r="G5" s="208"/>
    </row>
    <row r="6" spans="1:8" ht="18" x14ac:dyDescent="0.25">
      <c r="A6" s="24"/>
      <c r="B6" s="24"/>
      <c r="C6" s="24"/>
      <c r="D6" s="24"/>
      <c r="E6" s="24"/>
      <c r="F6" s="24"/>
      <c r="G6" s="6"/>
    </row>
    <row r="7" spans="1:8" ht="15.75" x14ac:dyDescent="0.25">
      <c r="A7" s="207" t="s">
        <v>226</v>
      </c>
      <c r="B7" s="228"/>
      <c r="C7" s="228"/>
      <c r="D7" s="228"/>
      <c r="E7" s="228"/>
      <c r="F7" s="228"/>
      <c r="G7" s="228"/>
    </row>
    <row r="8" spans="1:8" ht="18" x14ac:dyDescent="0.25">
      <c r="A8" s="24"/>
      <c r="B8" s="24"/>
      <c r="C8" s="24"/>
      <c r="D8" s="24"/>
      <c r="E8" s="62"/>
      <c r="F8" s="62"/>
      <c r="G8" s="62"/>
      <c r="H8" s="49"/>
    </row>
    <row r="9" spans="1:8" ht="38.25" x14ac:dyDescent="0.25">
      <c r="A9" s="235" t="s">
        <v>227</v>
      </c>
      <c r="B9" s="236"/>
      <c r="C9" s="237"/>
      <c r="D9" s="19" t="s">
        <v>128</v>
      </c>
      <c r="E9" s="20" t="s">
        <v>129</v>
      </c>
      <c r="F9" s="20" t="s">
        <v>130</v>
      </c>
      <c r="G9" s="20" t="s">
        <v>131</v>
      </c>
    </row>
    <row r="10" spans="1:8" s="199" customFormat="1" ht="25.5" customHeight="1" x14ac:dyDescent="0.25">
      <c r="A10" s="241" t="s">
        <v>0</v>
      </c>
      <c r="B10" s="242"/>
      <c r="C10" s="243"/>
      <c r="D10" s="50"/>
      <c r="E10" s="198">
        <f>SUM(E11:E17)</f>
        <v>3506955.08</v>
      </c>
      <c r="F10" s="198">
        <f>SUM(F11:F17)</f>
        <v>3375169.61</v>
      </c>
      <c r="G10" s="198">
        <f>F10/E10*100</f>
        <v>96.242168291474101</v>
      </c>
    </row>
    <row r="11" spans="1:8" x14ac:dyDescent="0.25">
      <c r="A11" s="229" t="s">
        <v>228</v>
      </c>
      <c r="B11" s="230"/>
      <c r="C11" s="231"/>
      <c r="D11" s="200"/>
      <c r="E11" s="55">
        <v>478705.48</v>
      </c>
      <c r="F11" s="55">
        <v>432579.89</v>
      </c>
      <c r="G11" s="198">
        <f t="shared" ref="G11:G17" si="0">F11/E11*100</f>
        <v>90.364515985904319</v>
      </c>
    </row>
    <row r="12" spans="1:8" x14ac:dyDescent="0.25">
      <c r="A12" s="229" t="s">
        <v>229</v>
      </c>
      <c r="B12" s="230"/>
      <c r="C12" s="231"/>
      <c r="D12" s="200"/>
      <c r="E12" s="55">
        <f>92.9+3450.81+132.72</f>
        <v>3676.43</v>
      </c>
      <c r="F12" s="55">
        <f>0.03+3206.41</f>
        <v>3206.44</v>
      </c>
      <c r="G12" s="198">
        <f t="shared" si="0"/>
        <v>87.216130866084768</v>
      </c>
    </row>
    <row r="13" spans="1:8" x14ac:dyDescent="0.25">
      <c r="A13" s="229" t="s">
        <v>230</v>
      </c>
      <c r="B13" s="230"/>
      <c r="C13" s="231"/>
      <c r="D13" s="200"/>
      <c r="E13" s="55">
        <v>92654.45</v>
      </c>
      <c r="F13" s="55">
        <v>74263.25</v>
      </c>
      <c r="G13" s="198">
        <f t="shared" si="0"/>
        <v>80.15076448028131</v>
      </c>
    </row>
    <row r="14" spans="1:8" x14ac:dyDescent="0.25">
      <c r="A14" s="229" t="s">
        <v>240</v>
      </c>
      <c r="B14" s="230"/>
      <c r="C14" s="231"/>
      <c r="D14" s="200"/>
      <c r="E14" s="55">
        <v>20273.16</v>
      </c>
      <c r="F14" s="55">
        <v>20273.16</v>
      </c>
      <c r="G14" s="198">
        <f t="shared" si="0"/>
        <v>100</v>
      </c>
    </row>
    <row r="15" spans="1:8" x14ac:dyDescent="0.25">
      <c r="A15" s="229" t="s">
        <v>231</v>
      </c>
      <c r="B15" s="230"/>
      <c r="C15" s="231"/>
      <c r="D15" s="200"/>
      <c r="E15" s="55">
        <v>115535.87</v>
      </c>
      <c r="F15" s="55">
        <v>99581.47</v>
      </c>
      <c r="G15" s="198">
        <f t="shared" si="0"/>
        <v>86.190955241865581</v>
      </c>
    </row>
    <row r="16" spans="1:8" x14ac:dyDescent="0.25">
      <c r="A16" s="229" t="s">
        <v>232</v>
      </c>
      <c r="B16" s="230"/>
      <c r="C16" s="231"/>
      <c r="D16" s="200"/>
      <c r="E16" s="55">
        <f>2792282.41</f>
        <v>2792282.41</v>
      </c>
      <c r="F16" s="55">
        <f>2742022.26</f>
        <v>2742022.26</v>
      </c>
      <c r="G16" s="198">
        <f t="shared" si="0"/>
        <v>98.200033427134599</v>
      </c>
    </row>
    <row r="17" spans="1:8" x14ac:dyDescent="0.25">
      <c r="A17" s="229" t="s">
        <v>233</v>
      </c>
      <c r="B17" s="230"/>
      <c r="C17" s="231"/>
      <c r="D17" s="200"/>
      <c r="E17" s="55">
        <v>3827.28</v>
      </c>
      <c r="F17" s="55">
        <v>3243.14</v>
      </c>
      <c r="G17" s="198">
        <f t="shared" si="0"/>
        <v>84.737463681779218</v>
      </c>
    </row>
    <row r="20" spans="1:8" ht="15.75" x14ac:dyDescent="0.25">
      <c r="A20" s="207" t="s">
        <v>234</v>
      </c>
      <c r="B20" s="228"/>
      <c r="C20" s="228"/>
      <c r="D20" s="228"/>
      <c r="E20" s="228"/>
      <c r="F20" s="228"/>
      <c r="G20" s="228"/>
    </row>
    <row r="21" spans="1:8" ht="18" x14ac:dyDescent="0.25">
      <c r="A21" s="24"/>
      <c r="B21" s="24"/>
      <c r="C21" s="24"/>
      <c r="D21" s="24"/>
      <c r="E21" s="62"/>
      <c r="F21" s="62"/>
      <c r="G21" s="62"/>
      <c r="H21" s="49"/>
    </row>
    <row r="22" spans="1:8" ht="38.25" x14ac:dyDescent="0.25">
      <c r="A22" s="235" t="s">
        <v>227</v>
      </c>
      <c r="B22" s="236"/>
      <c r="C22" s="237"/>
      <c r="D22" s="19" t="s">
        <v>128</v>
      </c>
      <c r="E22" s="20" t="s">
        <v>129</v>
      </c>
      <c r="F22" s="20" t="s">
        <v>130</v>
      </c>
      <c r="G22" s="20" t="s">
        <v>131</v>
      </c>
    </row>
    <row r="23" spans="1:8" ht="15.75" customHeight="1" x14ac:dyDescent="0.25">
      <c r="A23" s="238" t="s">
        <v>242</v>
      </c>
      <c r="B23" s="239"/>
      <c r="C23" s="240"/>
      <c r="D23" s="44"/>
      <c r="E23" s="61">
        <f>SUM(E24:E36)</f>
        <v>3528354.22</v>
      </c>
      <c r="F23" s="61">
        <f t="shared" ref="F23" si="1">SUM(F24:F36)</f>
        <v>3382423.5700000008</v>
      </c>
      <c r="G23" s="198">
        <f>F23/E23*100</f>
        <v>95.864058966279202</v>
      </c>
    </row>
    <row r="24" spans="1:8" s="201" customFormat="1" ht="15.75" customHeight="1" x14ac:dyDescent="0.25">
      <c r="A24" s="229" t="s">
        <v>228</v>
      </c>
      <c r="B24" s="230"/>
      <c r="C24" s="231"/>
      <c r="D24" s="104"/>
      <c r="E24" s="60">
        <f>181207.42+185161.26+793.05+58053.1+17640.97+34802.5</f>
        <v>477658.30000000005</v>
      </c>
      <c r="F24" s="60">
        <f>160766.16+182732.83+793.05+51757.91+17593.91+34802.5</f>
        <v>448446.35999999993</v>
      </c>
      <c r="G24" s="198">
        <f t="shared" ref="G24:G36" si="2">F24/E24*100</f>
        <v>93.884343682502717</v>
      </c>
    </row>
    <row r="25" spans="1:8" s="199" customFormat="1" x14ac:dyDescent="0.25">
      <c r="A25" s="229" t="s">
        <v>229</v>
      </c>
      <c r="B25" s="230"/>
      <c r="C25" s="231"/>
      <c r="D25" s="202"/>
      <c r="E25" s="55">
        <f>331.82+1221.04+159.26+39.82+1924.49</f>
        <v>3676.43</v>
      </c>
      <c r="F25" s="55">
        <f>97.22+0.03</f>
        <v>97.25</v>
      </c>
      <c r="G25" s="198">
        <f t="shared" si="2"/>
        <v>2.645229203330405</v>
      </c>
    </row>
    <row r="26" spans="1:8" s="199" customFormat="1" x14ac:dyDescent="0.25">
      <c r="A26" s="229" t="s">
        <v>235</v>
      </c>
      <c r="B26" s="230"/>
      <c r="C26" s="231"/>
      <c r="D26" s="202"/>
      <c r="E26" s="55">
        <f>2123.45+1388</f>
        <v>3511.45</v>
      </c>
      <c r="F26" s="55">
        <f>2123.45+1388</f>
        <v>3511.45</v>
      </c>
      <c r="G26" s="198">
        <f t="shared" si="2"/>
        <v>100</v>
      </c>
    </row>
    <row r="27" spans="1:8" s="199" customFormat="1" x14ac:dyDescent="0.25">
      <c r="A27" s="229" t="s">
        <v>230</v>
      </c>
      <c r="B27" s="230"/>
      <c r="C27" s="231"/>
      <c r="D27" s="202"/>
      <c r="E27" s="55">
        <f>3000+74930.89+200+1123.56+13400</f>
        <v>92654.45</v>
      </c>
      <c r="F27" s="55">
        <f>1706.65+52483.45+147.61+868.39+13251.32</f>
        <v>68457.42</v>
      </c>
      <c r="G27" s="198">
        <f t="shared" si="2"/>
        <v>73.88465421790319</v>
      </c>
    </row>
    <row r="28" spans="1:8" s="199" customFormat="1" x14ac:dyDescent="0.25">
      <c r="A28" s="232" t="s">
        <v>236</v>
      </c>
      <c r="B28" s="233"/>
      <c r="C28" s="234"/>
      <c r="D28" s="202"/>
      <c r="E28" s="55">
        <f>1016.21+12.9+6008.93</f>
        <v>7038.0400000000009</v>
      </c>
      <c r="F28" s="55">
        <f>1016.21+12.9+6008.93</f>
        <v>7038.0400000000009</v>
      </c>
      <c r="G28" s="198">
        <f t="shared" si="2"/>
        <v>100</v>
      </c>
    </row>
    <row r="29" spans="1:8" s="199" customFormat="1" x14ac:dyDescent="0.25">
      <c r="A29" s="229" t="s">
        <v>240</v>
      </c>
      <c r="B29" s="230"/>
      <c r="C29" s="231"/>
      <c r="D29" s="202"/>
      <c r="E29" s="55">
        <f>19795.08+478.08</f>
        <v>20273.160000000003</v>
      </c>
      <c r="F29" s="55">
        <f>2849.3+70.16</f>
        <v>2919.46</v>
      </c>
      <c r="G29" s="198">
        <f t="shared" si="2"/>
        <v>14.400616381461989</v>
      </c>
    </row>
    <row r="30" spans="1:8" s="199" customFormat="1" x14ac:dyDescent="0.25">
      <c r="A30" s="229" t="s">
        <v>237</v>
      </c>
      <c r="B30" s="230"/>
      <c r="C30" s="231"/>
      <c r="D30" s="203"/>
      <c r="E30" s="55">
        <f>11804.25+860.04</f>
        <v>12664.29</v>
      </c>
      <c r="F30" s="55">
        <f>11804.25+860.04</f>
        <v>12664.29</v>
      </c>
      <c r="G30" s="198">
        <f t="shared" si="2"/>
        <v>100</v>
      </c>
    </row>
    <row r="31" spans="1:8" s="199" customFormat="1" x14ac:dyDescent="0.25">
      <c r="A31" s="229" t="s">
        <v>231</v>
      </c>
      <c r="B31" s="230"/>
      <c r="C31" s="231"/>
      <c r="D31" s="202"/>
      <c r="E31" s="55">
        <f>79000+31007.18</f>
        <v>110007.18</v>
      </c>
      <c r="F31" s="55">
        <f>78926.57+16866.55</f>
        <v>95793.12000000001</v>
      </c>
      <c r="G31" s="198">
        <f t="shared" si="2"/>
        <v>87.078970663551246</v>
      </c>
    </row>
    <row r="32" spans="1:8" s="199" customFormat="1" x14ac:dyDescent="0.25">
      <c r="A32" s="229" t="s">
        <v>238</v>
      </c>
      <c r="B32" s="230"/>
      <c r="C32" s="231"/>
      <c r="D32" s="202"/>
      <c r="E32" s="55">
        <f>4718.59</f>
        <v>4718.59</v>
      </c>
      <c r="F32" s="55"/>
      <c r="G32" s="198">
        <f t="shared" si="2"/>
        <v>0</v>
      </c>
    </row>
    <row r="33" spans="1:7" s="199" customFormat="1" x14ac:dyDescent="0.25">
      <c r="A33" s="229" t="s">
        <v>232</v>
      </c>
      <c r="B33" s="230"/>
      <c r="C33" s="231"/>
      <c r="D33" s="202"/>
      <c r="E33" s="55">
        <f>2417477.18+292652.62+74192.05+2423.95+4703.28</f>
        <v>2791449.08</v>
      </c>
      <c r="F33" s="55">
        <f>2416915.68+269420.12+47190.64+2423.95+3737.61</f>
        <v>2739688.0000000005</v>
      </c>
      <c r="G33" s="198">
        <f t="shared" si="2"/>
        <v>98.145727236407282</v>
      </c>
    </row>
    <row r="34" spans="1:7" s="199" customFormat="1" x14ac:dyDescent="0.25">
      <c r="A34" s="229" t="s">
        <v>241</v>
      </c>
      <c r="B34" s="230"/>
      <c r="C34" s="231"/>
      <c r="D34" s="202"/>
      <c r="E34" s="55">
        <f>663.61</f>
        <v>663.61</v>
      </c>
      <c r="F34" s="55">
        <f>663.61</f>
        <v>663.61</v>
      </c>
      <c r="G34" s="198">
        <f t="shared" si="2"/>
        <v>100</v>
      </c>
    </row>
    <row r="35" spans="1:7" s="199" customFormat="1" x14ac:dyDescent="0.25">
      <c r="A35" s="229" t="s">
        <v>233</v>
      </c>
      <c r="B35" s="230"/>
      <c r="C35" s="231"/>
      <c r="D35" s="202"/>
      <c r="E35" s="55">
        <f>530.89+1116.07+2127.23</f>
        <v>3774.19</v>
      </c>
      <c r="F35" s="55">
        <f>1111.29+1767.83</f>
        <v>2879.12</v>
      </c>
      <c r="G35" s="198">
        <f t="shared" si="2"/>
        <v>76.284447788797067</v>
      </c>
    </row>
    <row r="36" spans="1:7" s="199" customFormat="1" x14ac:dyDescent="0.25">
      <c r="A36" s="229" t="s">
        <v>239</v>
      </c>
      <c r="B36" s="230"/>
      <c r="C36" s="231"/>
      <c r="D36" s="202"/>
      <c r="E36" s="55">
        <f>265.45</f>
        <v>265.45</v>
      </c>
      <c r="F36" s="55">
        <f>265.45</f>
        <v>265.45</v>
      </c>
      <c r="G36" s="198">
        <f t="shared" si="2"/>
        <v>100</v>
      </c>
    </row>
  </sheetData>
  <mergeCells count="29">
    <mergeCell ref="A10:C10"/>
    <mergeCell ref="A1:G1"/>
    <mergeCell ref="A3:G3"/>
    <mergeCell ref="A5:G5"/>
    <mergeCell ref="A7:G7"/>
    <mergeCell ref="A9:C9"/>
    <mergeCell ref="A26:C26"/>
    <mergeCell ref="A11:C11"/>
    <mergeCell ref="A12:C12"/>
    <mergeCell ref="A13:C13"/>
    <mergeCell ref="A15:C15"/>
    <mergeCell ref="A16:C16"/>
    <mergeCell ref="A17:C17"/>
    <mergeCell ref="A34:C34"/>
    <mergeCell ref="A35:C35"/>
    <mergeCell ref="A36:C36"/>
    <mergeCell ref="A14:C14"/>
    <mergeCell ref="A29:C29"/>
    <mergeCell ref="A27:C27"/>
    <mergeCell ref="A28:C28"/>
    <mergeCell ref="A30:C30"/>
    <mergeCell ref="A31:C31"/>
    <mergeCell ref="A32:C32"/>
    <mergeCell ref="A33:C33"/>
    <mergeCell ref="A20:G20"/>
    <mergeCell ref="A22:C22"/>
    <mergeCell ref="A23:C23"/>
    <mergeCell ref="A24:C24"/>
    <mergeCell ref="A25:C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170" zoomScaleNormal="170" workbookViewId="0">
      <selection activeCell="C16" sqref="C16"/>
    </sheetView>
  </sheetViews>
  <sheetFormatPr defaultRowHeight="15" x14ac:dyDescent="0.25"/>
  <cols>
    <col min="1" max="1" width="37.7109375" customWidth="1"/>
    <col min="2" max="2" width="17.140625" customWidth="1"/>
    <col min="3" max="5" width="25.28515625" customWidth="1"/>
  </cols>
  <sheetData>
    <row r="1" spans="1:11" ht="42" customHeight="1" x14ac:dyDescent="0.25">
      <c r="A1" s="204" t="s">
        <v>200</v>
      </c>
      <c r="B1" s="204"/>
      <c r="C1" s="204"/>
      <c r="D1" s="204"/>
      <c r="E1" s="204"/>
      <c r="F1" s="100"/>
      <c r="G1" s="100"/>
      <c r="H1" s="100"/>
      <c r="I1" s="100"/>
      <c r="J1" s="100"/>
      <c r="K1" s="100"/>
    </row>
    <row r="2" spans="1:11" ht="15.75" x14ac:dyDescent="0.25">
      <c r="A2" s="207" t="s">
        <v>26</v>
      </c>
      <c r="B2" s="207"/>
      <c r="C2" s="207"/>
      <c r="D2" s="209"/>
      <c r="E2" s="209"/>
    </row>
    <row r="3" spans="1:11" ht="18" x14ac:dyDescent="0.25">
      <c r="A3" s="5"/>
      <c r="B3" s="24"/>
      <c r="C3" s="5"/>
      <c r="D3" s="6"/>
      <c r="E3" s="6"/>
    </row>
    <row r="4" spans="1:11" ht="18" customHeight="1" x14ac:dyDescent="0.25">
      <c r="A4" s="207" t="s">
        <v>12</v>
      </c>
      <c r="B4" s="207"/>
      <c r="C4" s="208"/>
      <c r="D4" s="208"/>
      <c r="E4" s="208"/>
    </row>
    <row r="5" spans="1:11" ht="18" x14ac:dyDescent="0.25">
      <c r="A5" s="5"/>
      <c r="B5" s="24"/>
      <c r="C5" s="5"/>
      <c r="D5" s="6"/>
      <c r="E5" s="6"/>
    </row>
    <row r="6" spans="1:11" ht="15.75" x14ac:dyDescent="0.25">
      <c r="A6" s="207" t="s">
        <v>22</v>
      </c>
      <c r="B6" s="207"/>
      <c r="C6" s="228"/>
      <c r="D6" s="228"/>
      <c r="E6" s="228"/>
    </row>
    <row r="7" spans="1:11" ht="18" x14ac:dyDescent="0.25">
      <c r="A7" s="5"/>
      <c r="B7" s="24"/>
      <c r="C7" s="5"/>
      <c r="D7" s="6"/>
      <c r="E7" s="49" t="s">
        <v>54</v>
      </c>
    </row>
    <row r="8" spans="1:11" ht="30" x14ac:dyDescent="0.25">
      <c r="A8" s="110" t="s">
        <v>23</v>
      </c>
      <c r="B8" s="111" t="s">
        <v>128</v>
      </c>
      <c r="C8" s="111" t="s">
        <v>129</v>
      </c>
      <c r="D8" s="111" t="s">
        <v>134</v>
      </c>
      <c r="E8" s="111" t="s">
        <v>131</v>
      </c>
    </row>
    <row r="9" spans="1:11" x14ac:dyDescent="0.25">
      <c r="A9" s="109">
        <v>1</v>
      </c>
      <c r="B9" s="109">
        <v>2</v>
      </c>
      <c r="C9" s="109">
        <v>3</v>
      </c>
      <c r="D9" s="109">
        <v>4</v>
      </c>
      <c r="E9" s="109" t="s">
        <v>132</v>
      </c>
    </row>
    <row r="10" spans="1:11" ht="15.75" customHeight="1" x14ac:dyDescent="0.25">
      <c r="A10" s="11" t="s">
        <v>24</v>
      </c>
      <c r="B10" s="11"/>
      <c r="C10" s="90">
        <f>C11</f>
        <v>3528354.22</v>
      </c>
      <c r="D10" s="90">
        <f t="shared" ref="D10" si="0">D11</f>
        <v>3382423.57</v>
      </c>
      <c r="E10" s="131">
        <f>(D10/C10)*100</f>
        <v>95.864058966279174</v>
      </c>
    </row>
    <row r="11" spans="1:11" ht="15.75" customHeight="1" x14ac:dyDescent="0.25">
      <c r="A11" s="11" t="s">
        <v>47</v>
      </c>
      <c r="B11" s="11"/>
      <c r="C11" s="89">
        <f>C12+C13</f>
        <v>3528354.22</v>
      </c>
      <c r="D11" s="89">
        <f>D12+D13</f>
        <v>3382423.57</v>
      </c>
      <c r="E11" s="131">
        <f t="shared" ref="E11:E13" si="1">(D11/C11)*100</f>
        <v>95.864058966279174</v>
      </c>
    </row>
    <row r="12" spans="1:11" x14ac:dyDescent="0.25">
      <c r="A12" s="15" t="s">
        <v>48</v>
      </c>
      <c r="B12" s="15"/>
      <c r="C12" s="89">
        <f>3528354.22-C13</f>
        <v>3195947.06</v>
      </c>
      <c r="D12" s="89">
        <f>3382423.57-268616.25</f>
        <v>3113807.32</v>
      </c>
      <c r="E12" s="131">
        <f t="shared" si="1"/>
        <v>97.429877952984612</v>
      </c>
    </row>
    <row r="13" spans="1:11" x14ac:dyDescent="0.25">
      <c r="A13" s="11" t="s">
        <v>49</v>
      </c>
      <c r="B13" s="11"/>
      <c r="C13" s="89">
        <f>36407.16+61000+235000</f>
        <v>332407.16000000003</v>
      </c>
      <c r="D13" s="89">
        <v>268616.25</v>
      </c>
      <c r="E13" s="131">
        <f t="shared" si="1"/>
        <v>80.809405549507403</v>
      </c>
    </row>
  </sheetData>
  <mergeCells count="4">
    <mergeCell ref="A2:E2"/>
    <mergeCell ref="A4:E4"/>
    <mergeCell ref="A6:E6"/>
    <mergeCell ref="A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4"/>
  <sheetViews>
    <sheetView topLeftCell="A319" zoomScale="120" zoomScaleNormal="120" workbookViewId="0">
      <selection activeCell="D265" sqref="D26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7109375" customWidth="1"/>
    <col min="4" max="4" width="37.28515625" customWidth="1"/>
    <col min="5" max="7" width="25.28515625" customWidth="1"/>
    <col min="9" max="9" width="17.5703125" style="152" customWidth="1"/>
    <col min="10" max="10" width="18.85546875" customWidth="1"/>
  </cols>
  <sheetData>
    <row r="1" spans="1:10" ht="42" customHeight="1" x14ac:dyDescent="0.25">
      <c r="A1" s="204" t="s">
        <v>200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8" x14ac:dyDescent="0.25">
      <c r="A2" s="5"/>
      <c r="B2" s="5"/>
      <c r="C2" s="5"/>
      <c r="D2" s="5"/>
      <c r="E2" s="5"/>
      <c r="F2" s="6"/>
      <c r="G2" s="6"/>
    </row>
    <row r="3" spans="1:10" ht="18" customHeight="1" x14ac:dyDescent="0.3">
      <c r="A3" s="207" t="s">
        <v>25</v>
      </c>
      <c r="B3" s="208"/>
      <c r="C3" s="208"/>
      <c r="D3" s="208"/>
      <c r="E3" s="208"/>
      <c r="F3" s="208"/>
      <c r="G3" s="208"/>
    </row>
    <row r="4" spans="1:10" ht="18" x14ac:dyDescent="0.25">
      <c r="A4" s="5"/>
      <c r="B4" s="5"/>
      <c r="C4" s="49"/>
      <c r="D4" s="5"/>
      <c r="E4" s="62">
        <f>E7+E237</f>
        <v>3528354.2200000007</v>
      </c>
      <c r="F4" s="62">
        <f>F7+F237</f>
        <v>3382423.5699999989</v>
      </c>
      <c r="G4" s="62">
        <f>F4/E4*100</f>
        <v>95.864058966279131</v>
      </c>
    </row>
    <row r="5" spans="1:10" x14ac:dyDescent="0.25">
      <c r="A5" s="235" t="s">
        <v>27</v>
      </c>
      <c r="B5" s="271"/>
      <c r="C5" s="272"/>
      <c r="D5" s="19" t="s">
        <v>28</v>
      </c>
      <c r="E5" s="20" t="s">
        <v>129</v>
      </c>
      <c r="F5" s="20" t="s">
        <v>130</v>
      </c>
      <c r="G5" s="20" t="s">
        <v>131</v>
      </c>
    </row>
    <row r="6" spans="1:10" s="114" customFormat="1" ht="12" x14ac:dyDescent="0.2">
      <c r="A6" s="265">
        <v>1</v>
      </c>
      <c r="B6" s="266"/>
      <c r="C6" s="266"/>
      <c r="D6" s="267"/>
      <c r="E6" s="113">
        <v>2</v>
      </c>
      <c r="F6" s="113">
        <v>3</v>
      </c>
      <c r="G6" s="113" t="s">
        <v>135</v>
      </c>
      <c r="I6" s="156"/>
    </row>
    <row r="7" spans="1:10" ht="37.15" customHeight="1" x14ac:dyDescent="0.25">
      <c r="A7" s="268" t="s">
        <v>121</v>
      </c>
      <c r="B7" s="269"/>
      <c r="C7" s="270"/>
      <c r="D7" s="88" t="s">
        <v>122</v>
      </c>
      <c r="E7" s="72">
        <f>E8+E35+E42+E49+E55+E109+E202+E214</f>
        <v>3139893.9600000004</v>
      </c>
      <c r="F7" s="72">
        <f>F8+F35+F42+F49+F55+F109+F202+F214</f>
        <v>3040624.1999999988</v>
      </c>
      <c r="G7" s="72"/>
      <c r="I7" s="162">
        <f>SUM(I8:I37)</f>
        <v>3382423.57</v>
      </c>
      <c r="J7" s="152">
        <f>F4-I7</f>
        <v>0</v>
      </c>
    </row>
    <row r="8" spans="1:10" ht="24.95" customHeight="1" x14ac:dyDescent="0.25">
      <c r="A8" s="259" t="s">
        <v>57</v>
      </c>
      <c r="B8" s="260"/>
      <c r="C8" s="261"/>
      <c r="D8" s="64" t="s">
        <v>58</v>
      </c>
      <c r="E8" s="71">
        <f>E10</f>
        <v>173150.24000000002</v>
      </c>
      <c r="F8" s="71">
        <f t="shared" ref="F8" si="0">F10</f>
        <v>172139.24</v>
      </c>
      <c r="G8" s="71"/>
      <c r="I8" s="152">
        <v>2450243.87</v>
      </c>
    </row>
    <row r="9" spans="1:10" s="77" customFormat="1" ht="24.95" customHeight="1" x14ac:dyDescent="0.2">
      <c r="A9" s="253" t="s">
        <v>86</v>
      </c>
      <c r="B9" s="254"/>
      <c r="C9" s="255"/>
      <c r="D9" s="75" t="s">
        <v>17</v>
      </c>
      <c r="E9" s="76">
        <f>E10</f>
        <v>173150.24000000002</v>
      </c>
      <c r="F9" s="76">
        <f t="shared" ref="F9" si="1">F10</f>
        <v>172139.24</v>
      </c>
      <c r="G9" s="76">
        <f>(F9/E9)*100</f>
        <v>99.41611400596382</v>
      </c>
      <c r="I9" s="157">
        <v>97.22</v>
      </c>
    </row>
    <row r="10" spans="1:10" ht="24.95" customHeight="1" x14ac:dyDescent="0.3">
      <c r="A10" s="256">
        <v>3</v>
      </c>
      <c r="B10" s="257"/>
      <c r="C10" s="258"/>
      <c r="D10" s="26" t="s">
        <v>19</v>
      </c>
      <c r="E10" s="56">
        <f>E11</f>
        <v>173150.24000000002</v>
      </c>
      <c r="F10" s="56">
        <f>F11</f>
        <v>172139.24</v>
      </c>
      <c r="G10" s="56"/>
      <c r="I10" s="152">
        <f>1111.29+1767.83</f>
        <v>2879.12</v>
      </c>
    </row>
    <row r="11" spans="1:10" ht="24.95" customHeight="1" x14ac:dyDescent="0.25">
      <c r="A11" s="250">
        <v>32</v>
      </c>
      <c r="B11" s="251"/>
      <c r="C11" s="252"/>
      <c r="D11" s="165" t="s">
        <v>29</v>
      </c>
      <c r="E11" s="166">
        <f>74875.63+75000+10588.1+638.34+11650+398.17</f>
        <v>173150.24000000002</v>
      </c>
      <c r="F11" s="166">
        <f>F12+F16+F22+F30</f>
        <v>172139.24</v>
      </c>
      <c r="G11" s="167">
        <f>(F11/E11)*100</f>
        <v>99.41611400596382</v>
      </c>
      <c r="I11" s="152">
        <v>2014.69</v>
      </c>
    </row>
    <row r="12" spans="1:10" ht="24.95" customHeight="1" x14ac:dyDescent="0.25">
      <c r="A12" s="247">
        <v>321</v>
      </c>
      <c r="B12" s="248"/>
      <c r="C12" s="249"/>
      <c r="D12" s="128" t="s">
        <v>160</v>
      </c>
      <c r="E12" s="56"/>
      <c r="F12" s="147">
        <f>SUM(F13:F15)</f>
        <v>10395</v>
      </c>
      <c r="G12" s="57"/>
      <c r="I12" s="152">
        <v>2919.46</v>
      </c>
    </row>
    <row r="13" spans="1:10" ht="24.95" customHeight="1" x14ac:dyDescent="0.25">
      <c r="A13" s="244">
        <v>3211</v>
      </c>
      <c r="B13" s="245"/>
      <c r="C13" s="246"/>
      <c r="D13" s="128" t="s">
        <v>161</v>
      </c>
      <c r="E13" s="56"/>
      <c r="F13" s="56">
        <f>7974</f>
        <v>7974</v>
      </c>
      <c r="G13" s="57"/>
      <c r="I13" s="152">
        <f>52060.86+3737.61</f>
        <v>55798.47</v>
      </c>
    </row>
    <row r="14" spans="1:10" ht="24.95" customHeight="1" x14ac:dyDescent="0.25">
      <c r="A14" s="244">
        <v>3213</v>
      </c>
      <c r="B14" s="245"/>
      <c r="C14" s="246"/>
      <c r="D14" s="128" t="s">
        <v>163</v>
      </c>
      <c r="E14" s="56"/>
      <c r="F14" s="56">
        <f>665</f>
        <v>665</v>
      </c>
      <c r="G14" s="57"/>
      <c r="I14" s="152">
        <v>0.03</v>
      </c>
    </row>
    <row r="15" spans="1:10" ht="24.95" customHeight="1" x14ac:dyDescent="0.25">
      <c r="A15" s="244">
        <v>3214</v>
      </c>
      <c r="B15" s="245"/>
      <c r="C15" s="246"/>
      <c r="D15" s="128" t="s">
        <v>164</v>
      </c>
      <c r="E15" s="56"/>
      <c r="F15" s="56">
        <f>1756</f>
        <v>1756</v>
      </c>
      <c r="G15" s="57"/>
      <c r="I15" s="152">
        <v>141.68</v>
      </c>
    </row>
    <row r="16" spans="1:10" ht="24.95" customHeight="1" x14ac:dyDescent="0.25">
      <c r="A16" s="247">
        <v>322</v>
      </c>
      <c r="B16" s="248"/>
      <c r="C16" s="249"/>
      <c r="D16" s="128" t="s">
        <v>165</v>
      </c>
      <c r="E16" s="56"/>
      <c r="F16" s="147">
        <f>SUM(F17:F21)</f>
        <v>100069.71</v>
      </c>
      <c r="G16" s="57"/>
      <c r="I16" s="152">
        <v>950.28</v>
      </c>
    </row>
    <row r="17" spans="1:9" ht="24.95" customHeight="1" x14ac:dyDescent="0.25">
      <c r="A17" s="244">
        <v>3221</v>
      </c>
      <c r="B17" s="245"/>
      <c r="C17" s="246"/>
      <c r="D17" s="128" t="s">
        <v>166</v>
      </c>
      <c r="E17" s="56"/>
      <c r="F17" s="56">
        <f>23812.86</f>
        <v>23812.86</v>
      </c>
      <c r="G17" s="57"/>
      <c r="I17" s="152">
        <f>54114.14+13251.32</f>
        <v>67365.459999999992</v>
      </c>
    </row>
    <row r="18" spans="1:9" ht="24.95" customHeight="1" x14ac:dyDescent="0.25">
      <c r="A18" s="244">
        <v>3223</v>
      </c>
      <c r="B18" s="245"/>
      <c r="C18" s="246"/>
      <c r="D18" s="128" t="s">
        <v>168</v>
      </c>
      <c r="E18" s="56"/>
      <c r="F18" s="56">
        <f>74997.05</f>
        <v>74997.05</v>
      </c>
      <c r="G18" s="57"/>
      <c r="I18" s="152">
        <v>216095.32</v>
      </c>
    </row>
    <row r="19" spans="1:9" ht="24.95" customHeight="1" x14ac:dyDescent="0.25">
      <c r="A19" s="244">
        <v>3224</v>
      </c>
      <c r="B19" s="245"/>
      <c r="C19" s="246"/>
      <c r="D19" s="128" t="s">
        <v>203</v>
      </c>
      <c r="E19" s="56"/>
      <c r="F19" s="56">
        <f>638.34</f>
        <v>638.34</v>
      </c>
      <c r="G19" s="57"/>
      <c r="I19" s="152">
        <f>318308.74+45043.47</f>
        <v>363352.20999999996</v>
      </c>
    </row>
    <row r="20" spans="1:9" ht="24.95" customHeight="1" x14ac:dyDescent="0.25">
      <c r="A20" s="244">
        <v>3225</v>
      </c>
      <c r="B20" s="245"/>
      <c r="C20" s="246"/>
      <c r="D20" s="128" t="s">
        <v>169</v>
      </c>
      <c r="E20" s="56"/>
      <c r="F20" s="56">
        <v>23</v>
      </c>
      <c r="G20" s="57"/>
      <c r="I20" s="152">
        <v>1280</v>
      </c>
    </row>
    <row r="21" spans="1:9" ht="24.95" customHeight="1" x14ac:dyDescent="0.25">
      <c r="A21" s="244">
        <v>3227</v>
      </c>
      <c r="B21" s="245"/>
      <c r="C21" s="246"/>
      <c r="D21" s="128" t="s">
        <v>204</v>
      </c>
      <c r="E21" s="56"/>
      <c r="F21" s="56">
        <v>598.46</v>
      </c>
      <c r="G21" s="57"/>
      <c r="I21" s="152">
        <f>16745.91+7396.93</f>
        <v>24142.84</v>
      </c>
    </row>
    <row r="22" spans="1:9" ht="24.95" customHeight="1" x14ac:dyDescent="0.25">
      <c r="A22" s="247">
        <v>323</v>
      </c>
      <c r="B22" s="248"/>
      <c r="C22" s="249"/>
      <c r="D22" s="128" t="s">
        <v>170</v>
      </c>
      <c r="E22" s="56"/>
      <c r="F22" s="147">
        <f>SUM(F23:F29)</f>
        <v>56577.67</v>
      </c>
      <c r="G22" s="57"/>
      <c r="I22" s="152">
        <v>169786.65</v>
      </c>
    </row>
    <row r="23" spans="1:9" ht="24.95" customHeight="1" x14ac:dyDescent="0.25">
      <c r="A23" s="244">
        <v>3231</v>
      </c>
      <c r="B23" s="245"/>
      <c r="C23" s="246"/>
      <c r="D23" s="128" t="s">
        <v>171</v>
      </c>
      <c r="E23" s="56"/>
      <c r="F23" s="56">
        <f>4567.46</f>
        <v>4567.46</v>
      </c>
      <c r="G23" s="57"/>
      <c r="I23" s="152">
        <v>10632.66</v>
      </c>
    </row>
    <row r="24" spans="1:9" ht="24.95" customHeight="1" x14ac:dyDescent="0.25">
      <c r="A24" s="244">
        <v>3232</v>
      </c>
      <c r="B24" s="245"/>
      <c r="C24" s="246"/>
      <c r="D24" s="128" t="s">
        <v>172</v>
      </c>
      <c r="E24" s="56"/>
      <c r="F24" s="56">
        <f>11650</f>
        <v>11650</v>
      </c>
      <c r="G24" s="57"/>
      <c r="I24" s="152">
        <v>14723.61</v>
      </c>
    </row>
    <row r="25" spans="1:9" ht="24.95" customHeight="1" x14ac:dyDescent="0.25">
      <c r="A25" s="244">
        <v>3233</v>
      </c>
      <c r="B25" s="245"/>
      <c r="C25" s="246"/>
      <c r="D25" s="128" t="s">
        <v>173</v>
      </c>
      <c r="E25" s="56"/>
      <c r="F25" s="56">
        <v>746.55</v>
      </c>
      <c r="G25" s="57"/>
    </row>
    <row r="26" spans="1:9" ht="24.95" customHeight="1" x14ac:dyDescent="0.25">
      <c r="A26" s="244">
        <v>3234</v>
      </c>
      <c r="B26" s="245"/>
      <c r="C26" s="246"/>
      <c r="D26" s="128" t="s">
        <v>174</v>
      </c>
      <c r="E26" s="56"/>
      <c r="F26" s="56">
        <f>12679.85</f>
        <v>12679.85</v>
      </c>
      <c r="G26" s="57"/>
    </row>
    <row r="27" spans="1:9" ht="24.95" customHeight="1" x14ac:dyDescent="0.25">
      <c r="A27" s="244">
        <v>3237</v>
      </c>
      <c r="B27" s="245"/>
      <c r="C27" s="246"/>
      <c r="D27" s="128" t="s">
        <v>175</v>
      </c>
      <c r="E27" s="56"/>
      <c r="F27" s="56">
        <f>4619.84</f>
        <v>4619.84</v>
      </c>
      <c r="G27" s="57"/>
    </row>
    <row r="28" spans="1:9" ht="24.95" customHeight="1" x14ac:dyDescent="0.25">
      <c r="A28" s="244">
        <v>3238</v>
      </c>
      <c r="B28" s="245"/>
      <c r="C28" s="246"/>
      <c r="D28" s="128" t="s">
        <v>176</v>
      </c>
      <c r="E28" s="56"/>
      <c r="F28" s="56">
        <f>4954.27</f>
        <v>4954.2700000000004</v>
      </c>
      <c r="G28" s="57"/>
    </row>
    <row r="29" spans="1:9" ht="24.95" customHeight="1" x14ac:dyDescent="0.25">
      <c r="A29" s="244">
        <v>3239</v>
      </c>
      <c r="B29" s="245"/>
      <c r="C29" s="246"/>
      <c r="D29" s="128" t="s">
        <v>177</v>
      </c>
      <c r="E29" s="56"/>
      <c r="F29" s="56">
        <f>17359.7</f>
        <v>17359.7</v>
      </c>
      <c r="G29" s="57"/>
    </row>
    <row r="30" spans="1:9" ht="24.95" customHeight="1" x14ac:dyDescent="0.25">
      <c r="A30" s="247">
        <v>329</v>
      </c>
      <c r="B30" s="248"/>
      <c r="C30" s="249"/>
      <c r="D30" s="128" t="s">
        <v>178</v>
      </c>
      <c r="E30" s="56"/>
      <c r="F30" s="147">
        <f>SUM(F31:F34)</f>
        <v>5096.8600000000006</v>
      </c>
      <c r="G30" s="57"/>
    </row>
    <row r="31" spans="1:9" ht="24.95" customHeight="1" x14ac:dyDescent="0.25">
      <c r="A31" s="244">
        <v>3292</v>
      </c>
      <c r="B31" s="245"/>
      <c r="C31" s="246"/>
      <c r="D31" s="128" t="s">
        <v>179</v>
      </c>
      <c r="E31" s="56"/>
      <c r="F31" s="56">
        <f>3291.53</f>
        <v>3291.53</v>
      </c>
      <c r="G31" s="57"/>
    </row>
    <row r="32" spans="1:9" ht="24.95" customHeight="1" x14ac:dyDescent="0.25">
      <c r="A32" s="244">
        <v>3293</v>
      </c>
      <c r="B32" s="245"/>
      <c r="C32" s="246"/>
      <c r="D32" s="128" t="s">
        <v>180</v>
      </c>
      <c r="E32" s="56"/>
      <c r="F32" s="56">
        <f>111.46</f>
        <v>111.46</v>
      </c>
      <c r="G32" s="57"/>
    </row>
    <row r="33" spans="1:9" ht="24.95" customHeight="1" x14ac:dyDescent="0.25">
      <c r="A33" s="244">
        <v>3294</v>
      </c>
      <c r="B33" s="245"/>
      <c r="C33" s="246"/>
      <c r="D33" s="128" t="s">
        <v>181</v>
      </c>
      <c r="E33" s="56"/>
      <c r="F33" s="56">
        <f>106.18</f>
        <v>106.18</v>
      </c>
      <c r="G33" s="57"/>
    </row>
    <row r="34" spans="1:9" ht="24.95" customHeight="1" x14ac:dyDescent="0.25">
      <c r="A34" s="244">
        <v>3299</v>
      </c>
      <c r="B34" s="245"/>
      <c r="C34" s="246"/>
      <c r="D34" s="128" t="s">
        <v>178</v>
      </c>
      <c r="E34" s="56"/>
      <c r="F34" s="56">
        <f>1587.69</f>
        <v>1587.69</v>
      </c>
      <c r="G34" s="57"/>
    </row>
    <row r="35" spans="1:9" ht="24.95" customHeight="1" x14ac:dyDescent="0.25">
      <c r="A35" s="259" t="s">
        <v>59</v>
      </c>
      <c r="B35" s="260"/>
      <c r="C35" s="261"/>
      <c r="D35" s="99" t="s">
        <v>60</v>
      </c>
      <c r="E35" s="71">
        <f>E37</f>
        <v>793.05</v>
      </c>
      <c r="F35" s="71">
        <f t="shared" ref="F35" si="2">F37</f>
        <v>793.05</v>
      </c>
      <c r="G35" s="71"/>
    </row>
    <row r="36" spans="1:9" s="78" customFormat="1" ht="24.95" customHeight="1" x14ac:dyDescent="0.25">
      <c r="A36" s="253" t="s">
        <v>86</v>
      </c>
      <c r="B36" s="254"/>
      <c r="C36" s="255"/>
      <c r="D36" s="75" t="s">
        <v>17</v>
      </c>
      <c r="E36" s="76">
        <f>E37</f>
        <v>793.05</v>
      </c>
      <c r="F36" s="76">
        <f>F37</f>
        <v>793.05</v>
      </c>
      <c r="G36" s="76">
        <f>(F36/E36)*100</f>
        <v>100</v>
      </c>
      <c r="I36" s="158"/>
    </row>
    <row r="37" spans="1:9" ht="24.95" customHeight="1" x14ac:dyDescent="0.25">
      <c r="A37" s="256">
        <v>3</v>
      </c>
      <c r="B37" s="257"/>
      <c r="C37" s="258"/>
      <c r="D37" s="36" t="s">
        <v>19</v>
      </c>
      <c r="E37" s="56">
        <f>E38</f>
        <v>793.05</v>
      </c>
      <c r="F37" s="56">
        <f t="shared" ref="F37" si="3">F38</f>
        <v>793.05</v>
      </c>
      <c r="G37" s="56"/>
    </row>
    <row r="38" spans="1:9" ht="24.95" customHeight="1" x14ac:dyDescent="0.25">
      <c r="A38" s="250">
        <v>34</v>
      </c>
      <c r="B38" s="251"/>
      <c r="C38" s="252"/>
      <c r="D38" s="165" t="s">
        <v>60</v>
      </c>
      <c r="E38" s="166">
        <f>755+38.05</f>
        <v>793.05</v>
      </c>
      <c r="F38" s="166">
        <f>F39</f>
        <v>793.05</v>
      </c>
      <c r="G38" s="167">
        <f>(F38/E38)*100</f>
        <v>100</v>
      </c>
    </row>
    <row r="39" spans="1:9" ht="24.95" customHeight="1" x14ac:dyDescent="0.25">
      <c r="A39" s="247">
        <v>343</v>
      </c>
      <c r="B39" s="248"/>
      <c r="C39" s="249"/>
      <c r="D39" s="129" t="s">
        <v>187</v>
      </c>
      <c r="E39" s="147"/>
      <c r="F39" s="147">
        <f>F40+F41</f>
        <v>793.05</v>
      </c>
      <c r="G39" s="57"/>
    </row>
    <row r="40" spans="1:9" ht="24.95" customHeight="1" x14ac:dyDescent="0.25">
      <c r="A40" s="244">
        <v>3431</v>
      </c>
      <c r="B40" s="245"/>
      <c r="C40" s="246"/>
      <c r="D40" s="128" t="s">
        <v>188</v>
      </c>
      <c r="E40" s="56"/>
      <c r="F40" s="56">
        <f>755</f>
        <v>755</v>
      </c>
      <c r="G40" s="57"/>
    </row>
    <row r="41" spans="1:9" ht="24.95" customHeight="1" x14ac:dyDescent="0.25">
      <c r="A41" s="244">
        <v>3433</v>
      </c>
      <c r="B41" s="245"/>
      <c r="C41" s="246"/>
      <c r="D41" s="129" t="s">
        <v>189</v>
      </c>
      <c r="E41" s="56"/>
      <c r="F41" s="56">
        <f>38.05</f>
        <v>38.049999999999997</v>
      </c>
      <c r="G41" s="57"/>
    </row>
    <row r="42" spans="1:9" ht="24.95" customHeight="1" x14ac:dyDescent="0.25">
      <c r="A42" s="259" t="s">
        <v>61</v>
      </c>
      <c r="B42" s="260"/>
      <c r="C42" s="261"/>
      <c r="D42" s="64" t="s">
        <v>62</v>
      </c>
      <c r="E42" s="71">
        <f>E44</f>
        <v>10240.969999999999</v>
      </c>
      <c r="F42" s="71">
        <f t="shared" ref="F42" si="4">F44</f>
        <v>10240.969999999999</v>
      </c>
      <c r="G42" s="71"/>
    </row>
    <row r="43" spans="1:9" s="78" customFormat="1" ht="24.95" customHeight="1" x14ac:dyDescent="0.25">
      <c r="A43" s="253" t="s">
        <v>86</v>
      </c>
      <c r="B43" s="254"/>
      <c r="C43" s="255"/>
      <c r="D43" s="75" t="s">
        <v>17</v>
      </c>
      <c r="E43" s="76">
        <f>E44</f>
        <v>10240.969999999999</v>
      </c>
      <c r="F43" s="76">
        <f t="shared" ref="F43:F44" si="5">F44</f>
        <v>10240.969999999999</v>
      </c>
      <c r="G43" s="76">
        <f>(F43/E43)*100</f>
        <v>100</v>
      </c>
      <c r="I43" s="158"/>
    </row>
    <row r="44" spans="1:9" ht="24.95" customHeight="1" x14ac:dyDescent="0.25">
      <c r="A44" s="256">
        <v>4</v>
      </c>
      <c r="B44" s="257"/>
      <c r="C44" s="258"/>
      <c r="D44" s="36" t="s">
        <v>21</v>
      </c>
      <c r="E44" s="56">
        <f>E45</f>
        <v>10240.969999999999</v>
      </c>
      <c r="F44" s="56">
        <f t="shared" si="5"/>
        <v>10240.969999999999</v>
      </c>
      <c r="G44" s="56"/>
    </row>
    <row r="45" spans="1:9" ht="24.95" customHeight="1" x14ac:dyDescent="0.25">
      <c r="A45" s="250">
        <v>42</v>
      </c>
      <c r="B45" s="251"/>
      <c r="C45" s="252"/>
      <c r="D45" s="165" t="s">
        <v>37</v>
      </c>
      <c r="E45" s="166">
        <f>8555.05+1287.75+398.17</f>
        <v>10240.969999999999</v>
      </c>
      <c r="F45" s="166">
        <f>SUM(F46:F48)</f>
        <v>10240.969999999999</v>
      </c>
      <c r="G45" s="167">
        <f>(F45/E45)*100</f>
        <v>100</v>
      </c>
    </row>
    <row r="46" spans="1:9" ht="24.95" customHeight="1" x14ac:dyDescent="0.25">
      <c r="A46" s="244">
        <v>4221</v>
      </c>
      <c r="B46" s="245"/>
      <c r="C46" s="246"/>
      <c r="D46" s="129" t="s">
        <v>194</v>
      </c>
      <c r="E46" s="56"/>
      <c r="F46" s="56">
        <v>8555.0499999999993</v>
      </c>
      <c r="G46" s="76"/>
    </row>
    <row r="47" spans="1:9" ht="24.95" customHeight="1" x14ac:dyDescent="0.25">
      <c r="A47" s="244">
        <v>4223</v>
      </c>
      <c r="B47" s="245"/>
      <c r="C47" s="246"/>
      <c r="D47" s="130" t="s">
        <v>196</v>
      </c>
      <c r="E47" s="56"/>
      <c r="F47" s="56">
        <v>1287.75</v>
      </c>
      <c r="G47" s="76"/>
    </row>
    <row r="48" spans="1:9" ht="24.95" customHeight="1" x14ac:dyDescent="0.25">
      <c r="A48" s="244">
        <v>4241</v>
      </c>
      <c r="B48" s="245"/>
      <c r="C48" s="246"/>
      <c r="D48" s="129" t="s">
        <v>198</v>
      </c>
      <c r="E48" s="56"/>
      <c r="F48" s="56">
        <v>398.17</v>
      </c>
      <c r="G48" s="76"/>
    </row>
    <row r="49" spans="1:9" ht="24.95" customHeight="1" x14ac:dyDescent="0.25">
      <c r="A49" s="259" t="s">
        <v>63</v>
      </c>
      <c r="B49" s="260"/>
      <c r="C49" s="261"/>
      <c r="D49" s="64" t="s">
        <v>64</v>
      </c>
      <c r="E49" s="71">
        <f>E51</f>
        <v>34802.5</v>
      </c>
      <c r="F49" s="71">
        <f t="shared" ref="F49" si="6">F51</f>
        <v>34802.5</v>
      </c>
      <c r="G49" s="71"/>
    </row>
    <row r="50" spans="1:9" s="78" customFormat="1" ht="24.95" customHeight="1" x14ac:dyDescent="0.25">
      <c r="A50" s="253" t="s">
        <v>86</v>
      </c>
      <c r="B50" s="254"/>
      <c r="C50" s="255"/>
      <c r="D50" s="75" t="s">
        <v>17</v>
      </c>
      <c r="E50" s="76">
        <f>E51</f>
        <v>34802.5</v>
      </c>
      <c r="F50" s="76">
        <f>F51</f>
        <v>34802.5</v>
      </c>
      <c r="G50" s="76">
        <f>(F50/E50)*100</f>
        <v>100</v>
      </c>
      <c r="I50" s="158"/>
    </row>
    <row r="51" spans="1:9" ht="24.95" customHeight="1" x14ac:dyDescent="0.25">
      <c r="A51" s="256">
        <v>4</v>
      </c>
      <c r="B51" s="257"/>
      <c r="C51" s="258"/>
      <c r="D51" s="36" t="s">
        <v>21</v>
      </c>
      <c r="E51" s="56">
        <f>E52</f>
        <v>34802.5</v>
      </c>
      <c r="F51" s="56">
        <f t="shared" ref="F51" si="7">F52</f>
        <v>34802.5</v>
      </c>
      <c r="G51" s="56"/>
    </row>
    <row r="52" spans="1:9" ht="24.95" customHeight="1" x14ac:dyDescent="0.25">
      <c r="A52" s="250">
        <v>45</v>
      </c>
      <c r="B52" s="251"/>
      <c r="C52" s="252"/>
      <c r="D52" s="168" t="s">
        <v>45</v>
      </c>
      <c r="E52" s="166">
        <v>34802.5</v>
      </c>
      <c r="F52" s="166">
        <f>F53</f>
        <v>34802.5</v>
      </c>
      <c r="G52" s="167">
        <f>(F52/E52)*100</f>
        <v>100</v>
      </c>
    </row>
    <row r="53" spans="1:9" ht="24.95" customHeight="1" x14ac:dyDescent="0.25">
      <c r="A53" s="247">
        <v>451</v>
      </c>
      <c r="B53" s="248"/>
      <c r="C53" s="249"/>
      <c r="D53" s="128" t="s">
        <v>199</v>
      </c>
      <c r="E53" s="147"/>
      <c r="F53" s="147">
        <f>F54</f>
        <v>34802.5</v>
      </c>
      <c r="G53" s="57"/>
    </row>
    <row r="54" spans="1:9" ht="24.95" customHeight="1" x14ac:dyDescent="0.25">
      <c r="A54" s="244">
        <v>4511</v>
      </c>
      <c r="B54" s="245"/>
      <c r="C54" s="246"/>
      <c r="D54" s="128" t="s">
        <v>199</v>
      </c>
      <c r="E54" s="56"/>
      <c r="F54" s="56">
        <v>34802.5</v>
      </c>
      <c r="G54" s="57"/>
    </row>
    <row r="55" spans="1:9" ht="32.450000000000003" customHeight="1" x14ac:dyDescent="0.25">
      <c r="A55" s="259" t="s">
        <v>65</v>
      </c>
      <c r="B55" s="260"/>
      <c r="C55" s="261"/>
      <c r="D55" s="64" t="s">
        <v>66</v>
      </c>
      <c r="E55" s="71">
        <f>E56+E59+E62+E79+E87+E106+E69</f>
        <v>2488511.8600000003</v>
      </c>
      <c r="F55" s="71">
        <f>F56+F59+F62+F79+F87+F106+F69</f>
        <v>2467706.2799999993</v>
      </c>
      <c r="G55" s="71"/>
    </row>
    <row r="56" spans="1:9" s="78" customFormat="1" ht="24.95" customHeight="1" x14ac:dyDescent="0.25">
      <c r="A56" s="253" t="s">
        <v>87</v>
      </c>
      <c r="B56" s="254"/>
      <c r="C56" s="255"/>
      <c r="D56" s="75" t="s">
        <v>88</v>
      </c>
      <c r="E56" s="76">
        <f>E57</f>
        <v>331.82</v>
      </c>
      <c r="F56" s="76">
        <f t="shared" ref="F56:F57" si="8">F57</f>
        <v>0</v>
      </c>
      <c r="G56" s="76">
        <f>(F56/E56)*100</f>
        <v>0</v>
      </c>
      <c r="I56" s="158"/>
    </row>
    <row r="57" spans="1:9" ht="24.95" customHeight="1" x14ac:dyDescent="0.25">
      <c r="A57" s="256">
        <v>3</v>
      </c>
      <c r="B57" s="257"/>
      <c r="C57" s="258"/>
      <c r="D57" s="65" t="s">
        <v>19</v>
      </c>
      <c r="E57" s="56">
        <f>E58</f>
        <v>331.82</v>
      </c>
      <c r="F57" s="56">
        <f t="shared" si="8"/>
        <v>0</v>
      </c>
      <c r="G57" s="56"/>
    </row>
    <row r="58" spans="1:9" ht="24.95" customHeight="1" x14ac:dyDescent="0.25">
      <c r="A58" s="250">
        <v>31</v>
      </c>
      <c r="B58" s="251"/>
      <c r="C58" s="252"/>
      <c r="D58" s="165" t="s">
        <v>114</v>
      </c>
      <c r="E58" s="166">
        <f>66.36+265.46</f>
        <v>331.82</v>
      </c>
      <c r="F58" s="166">
        <v>0</v>
      </c>
      <c r="G58" s="167">
        <f>(F58/E58)*100</f>
        <v>0</v>
      </c>
    </row>
    <row r="59" spans="1:9" s="78" customFormat="1" ht="24.95" customHeight="1" x14ac:dyDescent="0.25">
      <c r="A59" s="253" t="s">
        <v>111</v>
      </c>
      <c r="B59" s="254"/>
      <c r="C59" s="255"/>
      <c r="D59" s="75" t="s">
        <v>93</v>
      </c>
      <c r="E59" s="76">
        <f>E60</f>
        <v>0</v>
      </c>
      <c r="F59" s="76">
        <f t="shared" ref="F59:F60" si="9">F60</f>
        <v>0</v>
      </c>
      <c r="G59" s="76" t="e">
        <f>(F59/E59)*100</f>
        <v>#DIV/0!</v>
      </c>
      <c r="I59" s="158"/>
    </row>
    <row r="60" spans="1:9" ht="24.95" customHeight="1" x14ac:dyDescent="0.25">
      <c r="A60" s="256">
        <v>3</v>
      </c>
      <c r="B60" s="257"/>
      <c r="C60" s="258"/>
      <c r="D60" s="65" t="s">
        <v>19</v>
      </c>
      <c r="E60" s="56">
        <f>E61</f>
        <v>0</v>
      </c>
      <c r="F60" s="56">
        <f t="shared" si="9"/>
        <v>0</v>
      </c>
      <c r="G60" s="56"/>
    </row>
    <row r="61" spans="1:9" ht="24.95" customHeight="1" x14ac:dyDescent="0.25">
      <c r="A61" s="250">
        <v>31</v>
      </c>
      <c r="B61" s="251"/>
      <c r="C61" s="252"/>
      <c r="D61" s="165" t="s">
        <v>206</v>
      </c>
      <c r="E61" s="166">
        <v>0</v>
      </c>
      <c r="F61" s="166">
        <v>0</v>
      </c>
      <c r="G61" s="167" t="e">
        <f>(F61/E61)*100</f>
        <v>#DIV/0!</v>
      </c>
    </row>
    <row r="62" spans="1:9" s="78" customFormat="1" ht="24.95" customHeight="1" x14ac:dyDescent="0.25">
      <c r="A62" s="253" t="s">
        <v>89</v>
      </c>
      <c r="B62" s="254"/>
      <c r="C62" s="255"/>
      <c r="D62" s="75" t="s">
        <v>110</v>
      </c>
      <c r="E62" s="76">
        <f>E63</f>
        <v>3000</v>
      </c>
      <c r="F62" s="76">
        <f>F63</f>
        <v>1706.65</v>
      </c>
      <c r="G62" s="76">
        <f>(F62/E62)*100</f>
        <v>56.888333333333343</v>
      </c>
      <c r="I62" s="158"/>
    </row>
    <row r="63" spans="1:9" ht="24.95" customHeight="1" x14ac:dyDescent="0.25">
      <c r="A63" s="256">
        <v>3</v>
      </c>
      <c r="B63" s="257"/>
      <c r="C63" s="258"/>
      <c r="D63" s="65" t="s">
        <v>19</v>
      </c>
      <c r="E63" s="56">
        <f>E64</f>
        <v>3000</v>
      </c>
      <c r="F63" s="56">
        <f t="shared" ref="F63" si="10">F64</f>
        <v>1706.65</v>
      </c>
      <c r="G63" s="56"/>
    </row>
    <row r="64" spans="1:9" ht="24.95" customHeight="1" x14ac:dyDescent="0.25">
      <c r="A64" s="250">
        <v>31</v>
      </c>
      <c r="B64" s="251"/>
      <c r="C64" s="252"/>
      <c r="D64" s="165" t="s">
        <v>20</v>
      </c>
      <c r="E64" s="166">
        <f>2464.93+535.07</f>
        <v>3000</v>
      </c>
      <c r="F64" s="166">
        <f>F65+F67</f>
        <v>1706.65</v>
      </c>
      <c r="G64" s="167">
        <f>(F64/E64)*100</f>
        <v>56.888333333333343</v>
      </c>
    </row>
    <row r="65" spans="1:9" ht="24.95" customHeight="1" x14ac:dyDescent="0.25">
      <c r="A65" s="247">
        <v>311</v>
      </c>
      <c r="B65" s="248"/>
      <c r="C65" s="249"/>
      <c r="D65" s="128" t="s">
        <v>155</v>
      </c>
      <c r="E65" s="147"/>
      <c r="F65" s="147">
        <f>F66</f>
        <v>1464.93</v>
      </c>
      <c r="G65" s="57"/>
    </row>
    <row r="66" spans="1:9" ht="24.95" customHeight="1" x14ac:dyDescent="0.25">
      <c r="A66" s="244">
        <v>3111</v>
      </c>
      <c r="B66" s="245"/>
      <c r="C66" s="246"/>
      <c r="D66" s="128" t="s">
        <v>156</v>
      </c>
      <c r="E66" s="56"/>
      <c r="F66" s="56">
        <f>1464.93</f>
        <v>1464.93</v>
      </c>
      <c r="G66" s="57"/>
    </row>
    <row r="67" spans="1:9" ht="24.95" customHeight="1" x14ac:dyDescent="0.25">
      <c r="A67" s="247">
        <v>313</v>
      </c>
      <c r="B67" s="248"/>
      <c r="C67" s="249"/>
      <c r="D67" s="128" t="s">
        <v>158</v>
      </c>
      <c r="E67" s="147"/>
      <c r="F67" s="147">
        <f>F68</f>
        <v>241.72</v>
      </c>
      <c r="G67" s="57"/>
    </row>
    <row r="68" spans="1:9" ht="24.95" customHeight="1" x14ac:dyDescent="0.25">
      <c r="A68" s="244">
        <v>3132</v>
      </c>
      <c r="B68" s="245"/>
      <c r="C68" s="246"/>
      <c r="D68" s="128" t="s">
        <v>159</v>
      </c>
      <c r="E68" s="56"/>
      <c r="F68" s="56">
        <f>241.72</f>
        <v>241.72</v>
      </c>
      <c r="G68" s="57"/>
    </row>
    <row r="69" spans="1:9" ht="24.95" customHeight="1" x14ac:dyDescent="0.25">
      <c r="A69" s="253" t="s">
        <v>201</v>
      </c>
      <c r="B69" s="254"/>
      <c r="C69" s="255"/>
      <c r="D69" s="153" t="s">
        <v>55</v>
      </c>
      <c r="E69" s="161">
        <f>E70</f>
        <v>20273.160000000003</v>
      </c>
      <c r="F69" s="161">
        <f>F70</f>
        <v>2919.46</v>
      </c>
      <c r="G69" s="76">
        <f>(F69/E69)*100</f>
        <v>14.400616381461989</v>
      </c>
    </row>
    <row r="70" spans="1:9" ht="24.95" customHeight="1" x14ac:dyDescent="0.25">
      <c r="A70" s="256">
        <v>3</v>
      </c>
      <c r="B70" s="257"/>
      <c r="C70" s="258"/>
      <c r="D70" s="154" t="s">
        <v>19</v>
      </c>
      <c r="E70" s="56">
        <f>E71+E76</f>
        <v>20273.160000000003</v>
      </c>
      <c r="F70" s="56">
        <f>F71+F76</f>
        <v>2919.46</v>
      </c>
      <c r="G70" s="57"/>
    </row>
    <row r="71" spans="1:9" ht="24.95" customHeight="1" x14ac:dyDescent="0.25">
      <c r="A71" s="250">
        <v>31</v>
      </c>
      <c r="B71" s="251"/>
      <c r="C71" s="252"/>
      <c r="D71" s="165" t="s">
        <v>20</v>
      </c>
      <c r="E71" s="166">
        <f>16991.52+2803.56</f>
        <v>19795.080000000002</v>
      </c>
      <c r="F71" s="166">
        <f>F72+F74</f>
        <v>2849.3</v>
      </c>
      <c r="G71" s="167">
        <f>(F71/E71)*100</f>
        <v>14.393980726523964</v>
      </c>
    </row>
    <row r="72" spans="1:9" ht="24.95" customHeight="1" x14ac:dyDescent="0.25">
      <c r="A72" s="247">
        <v>311</v>
      </c>
      <c r="B72" s="248"/>
      <c r="C72" s="249"/>
      <c r="D72" s="128" t="s">
        <v>155</v>
      </c>
      <c r="E72" s="147">
        <f>E73</f>
        <v>0</v>
      </c>
      <c r="F72" s="147">
        <f>F73</f>
        <v>2445.75</v>
      </c>
      <c r="G72" s="57"/>
    </row>
    <row r="73" spans="1:9" ht="24.95" customHeight="1" x14ac:dyDescent="0.25">
      <c r="A73" s="244">
        <v>3111</v>
      </c>
      <c r="B73" s="245"/>
      <c r="C73" s="246"/>
      <c r="D73" s="128" t="s">
        <v>156</v>
      </c>
      <c r="E73" s="56"/>
      <c r="F73" s="56">
        <v>2445.75</v>
      </c>
      <c r="G73" s="57"/>
    </row>
    <row r="74" spans="1:9" ht="24.95" customHeight="1" x14ac:dyDescent="0.25">
      <c r="A74" s="247">
        <v>313</v>
      </c>
      <c r="B74" s="248"/>
      <c r="C74" s="249"/>
      <c r="D74" s="128" t="s">
        <v>158</v>
      </c>
      <c r="E74" s="147">
        <f>E75</f>
        <v>0</v>
      </c>
      <c r="F74" s="147">
        <f>F75</f>
        <v>403.55</v>
      </c>
      <c r="G74" s="57"/>
    </row>
    <row r="75" spans="1:9" ht="24.95" customHeight="1" x14ac:dyDescent="0.25">
      <c r="A75" s="244">
        <v>3132</v>
      </c>
      <c r="B75" s="245"/>
      <c r="C75" s="246"/>
      <c r="D75" s="128" t="s">
        <v>159</v>
      </c>
      <c r="E75" s="56"/>
      <c r="F75" s="56">
        <f>403.55</f>
        <v>403.55</v>
      </c>
      <c r="G75" s="57"/>
    </row>
    <row r="76" spans="1:9" ht="24.95" customHeight="1" x14ac:dyDescent="0.25">
      <c r="A76" s="250">
        <v>32</v>
      </c>
      <c r="B76" s="251"/>
      <c r="C76" s="252"/>
      <c r="D76" s="165" t="s">
        <v>104</v>
      </c>
      <c r="E76" s="166">
        <f>477.84+0.24</f>
        <v>478.08</v>
      </c>
      <c r="F76" s="166">
        <f>F77</f>
        <v>70.16</v>
      </c>
      <c r="G76" s="167">
        <f>(F76/E76)*100</f>
        <v>14.67536813922356</v>
      </c>
    </row>
    <row r="77" spans="1:9" ht="24.95" customHeight="1" x14ac:dyDescent="0.25">
      <c r="A77" s="247">
        <v>321</v>
      </c>
      <c r="B77" s="248"/>
      <c r="C77" s="249"/>
      <c r="D77" s="128" t="s">
        <v>160</v>
      </c>
      <c r="E77" s="147">
        <f>E78</f>
        <v>0</v>
      </c>
      <c r="F77" s="147">
        <f>F78</f>
        <v>70.16</v>
      </c>
      <c r="G77" s="57"/>
    </row>
    <row r="78" spans="1:9" ht="24.95" customHeight="1" x14ac:dyDescent="0.25">
      <c r="A78" s="244">
        <v>3212</v>
      </c>
      <c r="B78" s="245"/>
      <c r="C78" s="246"/>
      <c r="D78" s="128" t="s">
        <v>162</v>
      </c>
      <c r="E78" s="56"/>
      <c r="F78" s="56">
        <v>70.16</v>
      </c>
      <c r="G78" s="57"/>
    </row>
    <row r="79" spans="1:9" s="78" customFormat="1" ht="24.95" customHeight="1" x14ac:dyDescent="0.25">
      <c r="A79" s="253" t="s">
        <v>100</v>
      </c>
      <c r="B79" s="254"/>
      <c r="C79" s="255"/>
      <c r="D79" s="75" t="s">
        <v>97</v>
      </c>
      <c r="E79" s="76">
        <f>E80</f>
        <v>12664.29</v>
      </c>
      <c r="F79" s="76">
        <f>F80</f>
        <v>12664.29</v>
      </c>
      <c r="G79" s="76">
        <f>(F79/E79)*100</f>
        <v>100</v>
      </c>
      <c r="I79" s="158"/>
    </row>
    <row r="80" spans="1:9" ht="24.95" customHeight="1" x14ac:dyDescent="0.25">
      <c r="A80" s="256">
        <v>3</v>
      </c>
      <c r="B80" s="257"/>
      <c r="C80" s="258"/>
      <c r="D80" s="65" t="s">
        <v>19</v>
      </c>
      <c r="E80" s="56">
        <f>E81+E84</f>
        <v>12664.29</v>
      </c>
      <c r="F80" s="56">
        <f>F81+F84</f>
        <v>12664.29</v>
      </c>
      <c r="G80" s="56"/>
    </row>
    <row r="81" spans="1:9" ht="24.95" customHeight="1" x14ac:dyDescent="0.25">
      <c r="A81" s="250">
        <v>31</v>
      </c>
      <c r="B81" s="251"/>
      <c r="C81" s="252"/>
      <c r="D81" s="165" t="s">
        <v>20</v>
      </c>
      <c r="E81" s="166">
        <v>11804.25</v>
      </c>
      <c r="F81" s="166">
        <f>F82</f>
        <v>11804.25</v>
      </c>
      <c r="G81" s="167">
        <f>(F81/E81)*100</f>
        <v>100</v>
      </c>
    </row>
    <row r="82" spans="1:9" ht="24.95" customHeight="1" x14ac:dyDescent="0.25">
      <c r="A82" s="247">
        <v>311</v>
      </c>
      <c r="B82" s="248"/>
      <c r="C82" s="249"/>
      <c r="D82" s="128" t="s">
        <v>155</v>
      </c>
      <c r="E82" s="147"/>
      <c r="F82" s="147">
        <f>F83</f>
        <v>11804.25</v>
      </c>
      <c r="G82" s="57"/>
    </row>
    <row r="83" spans="1:9" ht="24.95" customHeight="1" x14ac:dyDescent="0.25">
      <c r="A83" s="244">
        <v>3111</v>
      </c>
      <c r="B83" s="245"/>
      <c r="C83" s="246"/>
      <c r="D83" s="128" t="s">
        <v>156</v>
      </c>
      <c r="E83" s="56"/>
      <c r="F83" s="56">
        <f>11804.25</f>
        <v>11804.25</v>
      </c>
      <c r="G83" s="57"/>
    </row>
    <row r="84" spans="1:9" ht="24.95" customHeight="1" x14ac:dyDescent="0.25">
      <c r="A84" s="250">
        <v>32</v>
      </c>
      <c r="B84" s="251"/>
      <c r="C84" s="252"/>
      <c r="D84" s="165" t="s">
        <v>104</v>
      </c>
      <c r="E84" s="166">
        <v>860.04</v>
      </c>
      <c r="F84" s="166">
        <f>F85</f>
        <v>860.04</v>
      </c>
      <c r="G84" s="167">
        <f>(F84/E84)*100</f>
        <v>100</v>
      </c>
    </row>
    <row r="85" spans="1:9" ht="24.95" customHeight="1" x14ac:dyDescent="0.25">
      <c r="A85" s="247">
        <v>321</v>
      </c>
      <c r="B85" s="248"/>
      <c r="C85" s="249"/>
      <c r="D85" s="128" t="s">
        <v>160</v>
      </c>
      <c r="E85" s="147"/>
      <c r="F85" s="147">
        <f>F86</f>
        <v>860.04</v>
      </c>
      <c r="G85" s="57"/>
    </row>
    <row r="86" spans="1:9" ht="24.95" customHeight="1" x14ac:dyDescent="0.25">
      <c r="A86" s="244">
        <v>3212</v>
      </c>
      <c r="B86" s="245"/>
      <c r="C86" s="246"/>
      <c r="D86" s="128" t="s">
        <v>162</v>
      </c>
      <c r="E86" s="56"/>
      <c r="F86" s="56">
        <f>860.04</f>
        <v>860.04</v>
      </c>
      <c r="G86" s="57"/>
    </row>
    <row r="87" spans="1:9" s="78" customFormat="1" ht="24.95" customHeight="1" x14ac:dyDescent="0.25">
      <c r="A87" s="253" t="s">
        <v>85</v>
      </c>
      <c r="B87" s="254"/>
      <c r="C87" s="255"/>
      <c r="D87" s="75" t="s">
        <v>99</v>
      </c>
      <c r="E87" s="76">
        <f>E88</f>
        <v>2451711.7000000002</v>
      </c>
      <c r="F87" s="76">
        <f>F88</f>
        <v>2450415.8799999994</v>
      </c>
      <c r="G87" s="76">
        <f>(F87/E87)*100</f>
        <v>99.94714631414449</v>
      </c>
      <c r="I87" s="158"/>
    </row>
    <row r="88" spans="1:9" ht="24.95" customHeight="1" x14ac:dyDescent="0.25">
      <c r="A88" s="256">
        <v>3</v>
      </c>
      <c r="B88" s="257"/>
      <c r="C88" s="258"/>
      <c r="D88" s="36" t="s">
        <v>19</v>
      </c>
      <c r="E88" s="56">
        <f>E89+E99</f>
        <v>2451711.7000000002</v>
      </c>
      <c r="F88" s="56">
        <f>F89+F99</f>
        <v>2450415.8799999994</v>
      </c>
      <c r="G88" s="56"/>
    </row>
    <row r="89" spans="1:9" ht="24.95" customHeight="1" x14ac:dyDescent="0.25">
      <c r="A89" s="250">
        <v>31</v>
      </c>
      <c r="B89" s="251"/>
      <c r="C89" s="252"/>
      <c r="D89" s="165" t="s">
        <v>20</v>
      </c>
      <c r="E89" s="166">
        <f>E90+E97</f>
        <v>2404077.1800000002</v>
      </c>
      <c r="F89" s="166">
        <f>F91+F93+F95+F97</f>
        <v>2403561.1499999994</v>
      </c>
      <c r="G89" s="167">
        <f>(F89/E89)*100</f>
        <v>99.978535214913506</v>
      </c>
    </row>
    <row r="90" spans="1:9" ht="24.95" customHeight="1" x14ac:dyDescent="0.25">
      <c r="A90" s="66"/>
      <c r="B90" s="67"/>
      <c r="C90" s="68"/>
      <c r="D90" s="73" t="s">
        <v>105</v>
      </c>
      <c r="E90" s="74">
        <v>2403389.14</v>
      </c>
      <c r="F90" s="74">
        <f>F91+F93+F95</f>
        <v>2403389.1399999997</v>
      </c>
      <c r="G90" s="87"/>
    </row>
    <row r="91" spans="1:9" ht="24.95" customHeight="1" x14ac:dyDescent="0.25">
      <c r="A91" s="247">
        <v>311</v>
      </c>
      <c r="B91" s="248"/>
      <c r="C91" s="249"/>
      <c r="D91" s="128" t="s">
        <v>155</v>
      </c>
      <c r="E91" s="164"/>
      <c r="F91" s="164">
        <f>F92</f>
        <v>1994412.46</v>
      </c>
      <c r="G91" s="87"/>
    </row>
    <row r="92" spans="1:9" ht="24.95" customHeight="1" x14ac:dyDescent="0.25">
      <c r="A92" s="244">
        <v>3111</v>
      </c>
      <c r="B92" s="245"/>
      <c r="C92" s="246"/>
      <c r="D92" s="128" t="s">
        <v>156</v>
      </c>
      <c r="E92" s="74"/>
      <c r="F92" s="74">
        <f>1994412.46</f>
        <v>1994412.46</v>
      </c>
      <c r="G92" s="87"/>
    </row>
    <row r="93" spans="1:9" ht="24.95" customHeight="1" x14ac:dyDescent="0.25">
      <c r="A93" s="247">
        <v>312</v>
      </c>
      <c r="B93" s="248"/>
      <c r="C93" s="249"/>
      <c r="D93" s="128" t="s">
        <v>157</v>
      </c>
      <c r="E93" s="164"/>
      <c r="F93" s="164">
        <f>F94</f>
        <v>87890.18</v>
      </c>
      <c r="G93" s="87"/>
    </row>
    <row r="94" spans="1:9" ht="24.95" customHeight="1" x14ac:dyDescent="0.25">
      <c r="A94" s="244">
        <v>3121</v>
      </c>
      <c r="B94" s="245"/>
      <c r="C94" s="246"/>
      <c r="D94" s="128" t="s">
        <v>157</v>
      </c>
      <c r="E94" s="74"/>
      <c r="F94" s="74">
        <f>87890.18</f>
        <v>87890.18</v>
      </c>
      <c r="G94" s="87"/>
    </row>
    <row r="95" spans="1:9" ht="24.95" customHeight="1" x14ac:dyDescent="0.25">
      <c r="A95" s="247">
        <v>313</v>
      </c>
      <c r="B95" s="248"/>
      <c r="C95" s="249"/>
      <c r="D95" s="128" t="s">
        <v>158</v>
      </c>
      <c r="E95" s="164"/>
      <c r="F95" s="164">
        <f>F96</f>
        <v>321086.5</v>
      </c>
      <c r="G95" s="87"/>
    </row>
    <row r="96" spans="1:9" ht="24.95" customHeight="1" x14ac:dyDescent="0.25">
      <c r="A96" s="244">
        <v>3132</v>
      </c>
      <c r="B96" s="245"/>
      <c r="C96" s="246"/>
      <c r="D96" s="128" t="s">
        <v>159</v>
      </c>
      <c r="E96" s="74"/>
      <c r="F96" s="74">
        <f>321086.5</f>
        <v>321086.5</v>
      </c>
      <c r="G96" s="87"/>
    </row>
    <row r="97" spans="1:9" ht="24.95" customHeight="1" x14ac:dyDescent="0.25">
      <c r="A97" s="66"/>
      <c r="B97" s="67"/>
      <c r="C97" s="68"/>
      <c r="D97" s="73" t="s">
        <v>106</v>
      </c>
      <c r="E97" s="74">
        <v>688.04</v>
      </c>
      <c r="F97" s="164">
        <f>F98</f>
        <v>172.01</v>
      </c>
      <c r="G97" s="87"/>
    </row>
    <row r="98" spans="1:9" ht="24.95" customHeight="1" x14ac:dyDescent="0.25">
      <c r="A98" s="244">
        <v>3121</v>
      </c>
      <c r="B98" s="245"/>
      <c r="C98" s="246"/>
      <c r="D98" s="128" t="s">
        <v>157</v>
      </c>
      <c r="E98" s="74"/>
      <c r="F98" s="74">
        <v>172.01</v>
      </c>
      <c r="G98" s="87"/>
    </row>
    <row r="99" spans="1:9" ht="24.95" customHeight="1" x14ac:dyDescent="0.25">
      <c r="A99" s="250">
        <v>32</v>
      </c>
      <c r="B99" s="251"/>
      <c r="C99" s="252"/>
      <c r="D99" s="165" t="s">
        <v>29</v>
      </c>
      <c r="E99" s="166">
        <f>E100+E102+E104</f>
        <v>47634.52</v>
      </c>
      <c r="F99" s="166">
        <f>F100+F102+F104</f>
        <v>46854.729999999996</v>
      </c>
      <c r="G99" s="167">
        <f>(F99/E99)*100</f>
        <v>98.362972902844405</v>
      </c>
    </row>
    <row r="100" spans="1:9" ht="24.95" customHeight="1" x14ac:dyDescent="0.25">
      <c r="A100" s="66"/>
      <c r="B100" s="67"/>
      <c r="C100" s="68"/>
      <c r="D100" s="73" t="s">
        <v>107</v>
      </c>
      <c r="E100" s="74">
        <v>40000</v>
      </c>
      <c r="F100" s="74">
        <f>F101</f>
        <v>39266.639999999999</v>
      </c>
      <c r="G100" s="87"/>
    </row>
    <row r="101" spans="1:9" ht="24.95" customHeight="1" x14ac:dyDescent="0.25">
      <c r="A101" s="244">
        <v>3212</v>
      </c>
      <c r="B101" s="245"/>
      <c r="C101" s="246"/>
      <c r="D101" s="128" t="s">
        <v>162</v>
      </c>
      <c r="E101" s="74"/>
      <c r="F101" s="74">
        <f>39266.64</f>
        <v>39266.639999999999</v>
      </c>
      <c r="G101" s="87"/>
    </row>
    <row r="102" spans="1:9" ht="24.95" customHeight="1" x14ac:dyDescent="0.25">
      <c r="A102" s="66"/>
      <c r="B102" s="67"/>
      <c r="C102" s="68"/>
      <c r="D102" s="73" t="s">
        <v>108</v>
      </c>
      <c r="E102" s="74">
        <v>6400</v>
      </c>
      <c r="F102" s="74">
        <f>F103</f>
        <v>6377.71</v>
      </c>
      <c r="G102" s="87"/>
    </row>
    <row r="103" spans="1:9" ht="24.95" customHeight="1" x14ac:dyDescent="0.25">
      <c r="A103" s="244">
        <v>3295</v>
      </c>
      <c r="B103" s="245"/>
      <c r="C103" s="246"/>
      <c r="D103" s="129" t="s">
        <v>186</v>
      </c>
      <c r="E103" s="74"/>
      <c r="F103" s="74">
        <f>6377.71</f>
        <v>6377.71</v>
      </c>
      <c r="G103" s="87"/>
    </row>
    <row r="104" spans="1:9" ht="24.95" customHeight="1" x14ac:dyDescent="0.25">
      <c r="A104" s="66"/>
      <c r="B104" s="67"/>
      <c r="C104" s="68"/>
      <c r="D104" s="73" t="s">
        <v>109</v>
      </c>
      <c r="E104" s="74">
        <v>1234.52</v>
      </c>
      <c r="F104" s="74">
        <f>F105</f>
        <v>1210.3800000000001</v>
      </c>
      <c r="G104" s="87"/>
    </row>
    <row r="105" spans="1:9" ht="24.95" customHeight="1" x14ac:dyDescent="0.25">
      <c r="A105" s="244">
        <v>3237</v>
      </c>
      <c r="B105" s="245"/>
      <c r="C105" s="246"/>
      <c r="D105" s="128" t="s">
        <v>175</v>
      </c>
      <c r="E105" s="74"/>
      <c r="F105" s="74">
        <f>1210.38</f>
        <v>1210.3800000000001</v>
      </c>
      <c r="G105" s="87"/>
    </row>
    <row r="106" spans="1:9" s="78" customFormat="1" ht="24.95" customHeight="1" x14ac:dyDescent="0.25">
      <c r="A106" s="253" t="s">
        <v>90</v>
      </c>
      <c r="B106" s="254"/>
      <c r="C106" s="255"/>
      <c r="D106" s="75" t="s">
        <v>53</v>
      </c>
      <c r="E106" s="76">
        <f>E107</f>
        <v>530.89</v>
      </c>
      <c r="F106" s="76">
        <f t="shared" ref="F106:F107" si="11">F107</f>
        <v>0</v>
      </c>
      <c r="G106" s="76">
        <f>(F106/E106)*100</f>
        <v>0</v>
      </c>
      <c r="I106" s="158"/>
    </row>
    <row r="107" spans="1:9" ht="24.95" customHeight="1" x14ac:dyDescent="0.25">
      <c r="A107" s="256">
        <v>3</v>
      </c>
      <c r="B107" s="257"/>
      <c r="C107" s="258"/>
      <c r="D107" s="65" t="s">
        <v>19</v>
      </c>
      <c r="E107" s="56">
        <f>E108</f>
        <v>530.89</v>
      </c>
      <c r="F107" s="56">
        <f t="shared" si="11"/>
        <v>0</v>
      </c>
      <c r="G107" s="56"/>
    </row>
    <row r="108" spans="1:9" ht="24.95" customHeight="1" x14ac:dyDescent="0.25">
      <c r="A108" s="250">
        <v>31</v>
      </c>
      <c r="B108" s="251"/>
      <c r="C108" s="252"/>
      <c r="D108" s="165" t="s">
        <v>115</v>
      </c>
      <c r="E108" s="166">
        <v>530.89</v>
      </c>
      <c r="F108" s="166"/>
      <c r="G108" s="167">
        <f>(F108/E108)*100</f>
        <v>0</v>
      </c>
    </row>
    <row r="109" spans="1:9" ht="24.95" customHeight="1" x14ac:dyDescent="0.25">
      <c r="A109" s="259" t="s">
        <v>67</v>
      </c>
      <c r="B109" s="260"/>
      <c r="C109" s="261"/>
      <c r="D109" s="64" t="s">
        <v>68</v>
      </c>
      <c r="E109" s="71">
        <f>E110+E115+E130+E150+E159+E180+E188+E198+E157</f>
        <v>402471.25000000006</v>
      </c>
      <c r="F109" s="71">
        <f>F110+F115+F130+F150+F159+F180+F188+F198+F157</f>
        <v>328627.92999999993</v>
      </c>
      <c r="G109" s="71"/>
    </row>
    <row r="110" spans="1:9" s="79" customFormat="1" ht="24.95" customHeight="1" x14ac:dyDescent="0.2">
      <c r="A110" s="253" t="s">
        <v>87</v>
      </c>
      <c r="B110" s="254"/>
      <c r="C110" s="255"/>
      <c r="D110" s="75" t="s">
        <v>88</v>
      </c>
      <c r="E110" s="76">
        <f>E111</f>
        <v>1260.8599999999997</v>
      </c>
      <c r="F110" s="76">
        <f t="shared" ref="F110" si="12">F111</f>
        <v>97.22</v>
      </c>
      <c r="G110" s="76">
        <f>(F110/E110)*100</f>
        <v>7.7106102184223477</v>
      </c>
      <c r="I110" s="159"/>
    </row>
    <row r="111" spans="1:9" ht="24.95" customHeight="1" x14ac:dyDescent="0.25">
      <c r="A111" s="256">
        <v>3</v>
      </c>
      <c r="B111" s="257"/>
      <c r="C111" s="258"/>
      <c r="D111" s="36" t="s">
        <v>19</v>
      </c>
      <c r="E111" s="56">
        <f>E112+E114</f>
        <v>1260.8599999999997</v>
      </c>
      <c r="F111" s="56">
        <f t="shared" ref="F111" si="13">F112+F114</f>
        <v>97.22</v>
      </c>
      <c r="G111" s="56"/>
    </row>
    <row r="112" spans="1:9" ht="24.95" customHeight="1" x14ac:dyDescent="0.25">
      <c r="A112" s="250">
        <v>32</v>
      </c>
      <c r="B112" s="251"/>
      <c r="C112" s="252"/>
      <c r="D112" s="165" t="s">
        <v>117</v>
      </c>
      <c r="E112" s="166">
        <f>132.72+66.36+26.54+265.45+66.36+66.36+199.08+265.45+66.36+66.36</f>
        <v>1221.0399999999997</v>
      </c>
      <c r="F112" s="166">
        <f>F113</f>
        <v>97.22</v>
      </c>
      <c r="G112" s="167">
        <f>(F112/E112)*100</f>
        <v>7.9620651248116374</v>
      </c>
    </row>
    <row r="113" spans="1:9" ht="24.95" customHeight="1" x14ac:dyDescent="0.25">
      <c r="A113" s="244">
        <v>3239</v>
      </c>
      <c r="B113" s="245"/>
      <c r="C113" s="246"/>
      <c r="D113" s="128" t="s">
        <v>177</v>
      </c>
      <c r="E113" s="56"/>
      <c r="F113" s="56">
        <f>97.22</f>
        <v>97.22</v>
      </c>
      <c r="G113" s="76"/>
    </row>
    <row r="114" spans="1:9" ht="36.75" customHeight="1" x14ac:dyDescent="0.25">
      <c r="A114" s="250">
        <v>37</v>
      </c>
      <c r="B114" s="251"/>
      <c r="C114" s="252"/>
      <c r="D114" s="169" t="s">
        <v>118</v>
      </c>
      <c r="E114" s="166">
        <v>39.82</v>
      </c>
      <c r="F114" s="166"/>
      <c r="G114" s="167">
        <f>(F114/E114)*100</f>
        <v>0</v>
      </c>
    </row>
    <row r="115" spans="1:9" s="79" customFormat="1" ht="24.95" customHeight="1" x14ac:dyDescent="0.2">
      <c r="A115" s="253" t="s">
        <v>111</v>
      </c>
      <c r="B115" s="254"/>
      <c r="C115" s="255"/>
      <c r="D115" s="75" t="s">
        <v>93</v>
      </c>
      <c r="E115" s="76">
        <f>E116</f>
        <v>2123.4499999999998</v>
      </c>
      <c r="F115" s="76">
        <f>F116</f>
        <v>2123.4500000000003</v>
      </c>
      <c r="G115" s="76">
        <f>(F115/E115)*100</f>
        <v>100.00000000000003</v>
      </c>
      <c r="I115" s="159"/>
    </row>
    <row r="116" spans="1:9" ht="24.95" customHeight="1" x14ac:dyDescent="0.25">
      <c r="A116" s="250">
        <v>32</v>
      </c>
      <c r="B116" s="251"/>
      <c r="C116" s="252"/>
      <c r="D116" s="165" t="s">
        <v>29</v>
      </c>
      <c r="E116" s="166">
        <v>2123.4499999999998</v>
      </c>
      <c r="F116" s="166">
        <f>F117+F119+F121+F124+F126</f>
        <v>2123.4500000000003</v>
      </c>
      <c r="G116" s="167">
        <f>(F116/E116)*100</f>
        <v>100.00000000000003</v>
      </c>
    </row>
    <row r="117" spans="1:9" ht="24.95" customHeight="1" x14ac:dyDescent="0.25">
      <c r="A117" s="247">
        <v>321</v>
      </c>
      <c r="B117" s="248"/>
      <c r="C117" s="249"/>
      <c r="D117" s="128" t="s">
        <v>160</v>
      </c>
      <c r="E117" s="147"/>
      <c r="F117" s="147">
        <f>F118</f>
        <v>128.52000000000001</v>
      </c>
      <c r="G117" s="76"/>
    </row>
    <row r="118" spans="1:9" ht="24.95" customHeight="1" x14ac:dyDescent="0.25">
      <c r="A118" s="244">
        <v>3211</v>
      </c>
      <c r="B118" s="245"/>
      <c r="C118" s="246"/>
      <c r="D118" s="128" t="s">
        <v>161</v>
      </c>
      <c r="E118" s="56"/>
      <c r="F118" s="56">
        <f>128.52</f>
        <v>128.52000000000001</v>
      </c>
      <c r="G118" s="76"/>
    </row>
    <row r="119" spans="1:9" ht="24.95" customHeight="1" x14ac:dyDescent="0.25">
      <c r="A119" s="247">
        <v>322</v>
      </c>
      <c r="B119" s="248"/>
      <c r="C119" s="249"/>
      <c r="D119" s="128" t="s">
        <v>165</v>
      </c>
      <c r="E119" s="147"/>
      <c r="F119" s="147">
        <f>F120</f>
        <v>1052.68</v>
      </c>
      <c r="G119" s="76"/>
    </row>
    <row r="120" spans="1:9" ht="24.95" customHeight="1" x14ac:dyDescent="0.25">
      <c r="A120" s="244">
        <v>3221</v>
      </c>
      <c r="B120" s="245"/>
      <c r="C120" s="246"/>
      <c r="D120" s="128" t="s">
        <v>166</v>
      </c>
      <c r="E120" s="56"/>
      <c r="F120" s="56">
        <f>1052.68</f>
        <v>1052.68</v>
      </c>
      <c r="G120" s="76"/>
    </row>
    <row r="121" spans="1:9" ht="24.95" customHeight="1" x14ac:dyDescent="0.25">
      <c r="A121" s="247">
        <v>323</v>
      </c>
      <c r="B121" s="248"/>
      <c r="C121" s="249"/>
      <c r="D121" s="128" t="s">
        <v>170</v>
      </c>
      <c r="E121" s="147"/>
      <c r="F121" s="147">
        <f>F123+F122</f>
        <v>818.08999999999992</v>
      </c>
      <c r="G121" s="76"/>
    </row>
    <row r="122" spans="1:9" ht="24.95" customHeight="1" x14ac:dyDescent="0.25">
      <c r="A122" s="244">
        <v>3231</v>
      </c>
      <c r="B122" s="245"/>
      <c r="C122" s="246"/>
      <c r="D122" s="128" t="s">
        <v>171</v>
      </c>
      <c r="E122" s="147"/>
      <c r="F122" s="56">
        <f>457.31</f>
        <v>457.31</v>
      </c>
      <c r="G122" s="76"/>
    </row>
    <row r="123" spans="1:9" ht="24.95" customHeight="1" x14ac:dyDescent="0.25">
      <c r="A123" s="244">
        <v>3239</v>
      </c>
      <c r="B123" s="245"/>
      <c r="C123" s="246"/>
      <c r="D123" s="128" t="s">
        <v>177</v>
      </c>
      <c r="E123" s="56"/>
      <c r="F123" s="56">
        <f>360.78</f>
        <v>360.78</v>
      </c>
      <c r="G123" s="76"/>
    </row>
    <row r="124" spans="1:9" ht="24.95" customHeight="1" x14ac:dyDescent="0.25">
      <c r="A124" s="247">
        <v>324</v>
      </c>
      <c r="B124" s="248"/>
      <c r="C124" s="249"/>
      <c r="D124" s="128" t="s">
        <v>182</v>
      </c>
      <c r="E124" s="147"/>
      <c r="F124" s="147">
        <f>F125</f>
        <v>62.01</v>
      </c>
      <c r="G124" s="76"/>
    </row>
    <row r="125" spans="1:9" ht="24.95" customHeight="1" x14ac:dyDescent="0.25">
      <c r="A125" s="244">
        <v>3241</v>
      </c>
      <c r="B125" s="245"/>
      <c r="C125" s="246"/>
      <c r="D125" s="128" t="s">
        <v>182</v>
      </c>
      <c r="E125" s="56"/>
      <c r="F125" s="56">
        <f>62.01</f>
        <v>62.01</v>
      </c>
      <c r="G125" s="76"/>
    </row>
    <row r="126" spans="1:9" ht="24.95" customHeight="1" x14ac:dyDescent="0.25">
      <c r="A126" s="247">
        <v>329</v>
      </c>
      <c r="B126" s="248"/>
      <c r="C126" s="249"/>
      <c r="D126" s="128" t="s">
        <v>178</v>
      </c>
      <c r="E126" s="147"/>
      <c r="F126" s="147">
        <f>F128+F129+F127</f>
        <v>62.15</v>
      </c>
      <c r="G126" s="76"/>
    </row>
    <row r="127" spans="1:9" ht="24.95" customHeight="1" x14ac:dyDescent="0.25">
      <c r="A127" s="244">
        <v>3292</v>
      </c>
      <c r="B127" s="245"/>
      <c r="C127" s="246"/>
      <c r="D127" s="128" t="s">
        <v>179</v>
      </c>
      <c r="E127" s="56"/>
      <c r="F127" s="56">
        <f>19.32</f>
        <v>19.32</v>
      </c>
      <c r="G127" s="76"/>
    </row>
    <row r="128" spans="1:9" ht="24.95" customHeight="1" x14ac:dyDescent="0.25">
      <c r="A128" s="244">
        <v>3293</v>
      </c>
      <c r="B128" s="245"/>
      <c r="C128" s="246"/>
      <c r="D128" s="128" t="s">
        <v>180</v>
      </c>
      <c r="E128" s="56"/>
      <c r="F128" s="56">
        <f>15.83</f>
        <v>15.83</v>
      </c>
      <c r="G128" s="76"/>
    </row>
    <row r="129" spans="1:9" ht="24.95" customHeight="1" x14ac:dyDescent="0.25">
      <c r="A129" s="244">
        <v>3299</v>
      </c>
      <c r="B129" s="245"/>
      <c r="C129" s="246"/>
      <c r="D129" s="128" t="s">
        <v>178</v>
      </c>
      <c r="E129" s="56"/>
      <c r="F129" s="56">
        <f>27</f>
        <v>27</v>
      </c>
      <c r="G129" s="76"/>
    </row>
    <row r="130" spans="1:9" s="79" customFormat="1" ht="24.95" customHeight="1" x14ac:dyDescent="0.2">
      <c r="A130" s="253" t="s">
        <v>89</v>
      </c>
      <c r="B130" s="254"/>
      <c r="C130" s="255"/>
      <c r="D130" s="75" t="s">
        <v>119</v>
      </c>
      <c r="E130" s="76">
        <f>E131</f>
        <v>76054.45</v>
      </c>
      <c r="F130" s="76">
        <f>F131</f>
        <v>53351.840000000004</v>
      </c>
      <c r="G130" s="76">
        <f>(F130/E130)*100</f>
        <v>70.149531026784103</v>
      </c>
      <c r="I130" s="159"/>
    </row>
    <row r="131" spans="1:9" ht="24.95" customHeight="1" x14ac:dyDescent="0.25">
      <c r="A131" s="256">
        <v>3</v>
      </c>
      <c r="B131" s="257"/>
      <c r="C131" s="258"/>
      <c r="D131" s="36" t="s">
        <v>19</v>
      </c>
      <c r="E131" s="56">
        <f>E132+E148</f>
        <v>76054.45</v>
      </c>
      <c r="F131" s="56">
        <f>F132+F148</f>
        <v>53351.840000000004</v>
      </c>
      <c r="G131" s="56"/>
    </row>
    <row r="132" spans="1:9" ht="24.95" customHeight="1" x14ac:dyDescent="0.25">
      <c r="A132" s="250">
        <v>32</v>
      </c>
      <c r="B132" s="251"/>
      <c r="C132" s="252"/>
      <c r="D132" s="165" t="s">
        <v>29</v>
      </c>
      <c r="E132" s="166">
        <f>3000+61000+500+3400+1000+200+3000+500+500+300+66.36+464.53+1000</f>
        <v>74930.89</v>
      </c>
      <c r="F132" s="166">
        <f>F133+F135+F140+F145</f>
        <v>52483.450000000004</v>
      </c>
      <c r="G132" s="167">
        <f>(F132/E132)*100</f>
        <v>70.04247513942515</v>
      </c>
    </row>
    <row r="133" spans="1:9" ht="24.95" customHeight="1" x14ac:dyDescent="0.25">
      <c r="A133" s="247">
        <v>321</v>
      </c>
      <c r="B133" s="248"/>
      <c r="C133" s="249"/>
      <c r="D133" s="128" t="s">
        <v>160</v>
      </c>
      <c r="E133" s="147"/>
      <c r="F133" s="147">
        <f>F134</f>
        <v>73</v>
      </c>
      <c r="G133" s="76"/>
    </row>
    <row r="134" spans="1:9" ht="24.95" customHeight="1" x14ac:dyDescent="0.25">
      <c r="A134" s="244">
        <v>3213</v>
      </c>
      <c r="B134" s="245"/>
      <c r="C134" s="246"/>
      <c r="D134" s="128" t="s">
        <v>163</v>
      </c>
      <c r="E134" s="56"/>
      <c r="F134" s="56">
        <f>73</f>
        <v>73</v>
      </c>
      <c r="G134" s="76"/>
    </row>
    <row r="135" spans="1:9" ht="24.95" customHeight="1" x14ac:dyDescent="0.25">
      <c r="A135" s="247">
        <v>322</v>
      </c>
      <c r="B135" s="248"/>
      <c r="C135" s="249"/>
      <c r="D135" s="128" t="s">
        <v>165</v>
      </c>
      <c r="E135" s="147"/>
      <c r="F135" s="147">
        <f>SUM(F136:F139)</f>
        <v>46255.770000000004</v>
      </c>
      <c r="G135" s="76"/>
    </row>
    <row r="136" spans="1:9" ht="24.95" customHeight="1" x14ac:dyDescent="0.25">
      <c r="A136" s="244">
        <v>3221</v>
      </c>
      <c r="B136" s="245"/>
      <c r="C136" s="246"/>
      <c r="D136" s="128" t="s">
        <v>166</v>
      </c>
      <c r="E136" s="56"/>
      <c r="F136" s="56">
        <f>3.9+22.16+6933.52</f>
        <v>6959.5800000000008</v>
      </c>
      <c r="G136" s="76"/>
    </row>
    <row r="137" spans="1:9" ht="24.95" customHeight="1" x14ac:dyDescent="0.25">
      <c r="A137" s="244">
        <v>3222</v>
      </c>
      <c r="B137" s="245"/>
      <c r="C137" s="246"/>
      <c r="D137" s="128" t="s">
        <v>167</v>
      </c>
      <c r="E137" s="56"/>
      <c r="F137" s="56">
        <f>37433.5</f>
        <v>37433.5</v>
      </c>
      <c r="G137" s="76"/>
    </row>
    <row r="138" spans="1:9" ht="24.95" customHeight="1" x14ac:dyDescent="0.25">
      <c r="A138" s="244">
        <v>3225</v>
      </c>
      <c r="B138" s="245"/>
      <c r="C138" s="246"/>
      <c r="D138" s="128" t="s">
        <v>169</v>
      </c>
      <c r="E138" s="56"/>
      <c r="F138" s="56">
        <f>1512.51</f>
        <v>1512.51</v>
      </c>
      <c r="G138" s="76"/>
    </row>
    <row r="139" spans="1:9" ht="24.95" customHeight="1" x14ac:dyDescent="0.25">
      <c r="A139" s="244">
        <v>3227</v>
      </c>
      <c r="B139" s="245"/>
      <c r="C139" s="246"/>
      <c r="D139" s="128" t="s">
        <v>183</v>
      </c>
      <c r="E139" s="56"/>
      <c r="F139" s="56">
        <f>350.18</f>
        <v>350.18</v>
      </c>
      <c r="G139" s="76"/>
    </row>
    <row r="140" spans="1:9" ht="24.95" customHeight="1" x14ac:dyDescent="0.25">
      <c r="A140" s="247">
        <v>323</v>
      </c>
      <c r="B140" s="248"/>
      <c r="C140" s="249"/>
      <c r="D140" s="128" t="s">
        <v>170</v>
      </c>
      <c r="E140" s="147"/>
      <c r="F140" s="147">
        <f>SUM(F141:F144)</f>
        <v>6016.9</v>
      </c>
      <c r="G140" s="76"/>
    </row>
    <row r="141" spans="1:9" ht="24.95" customHeight="1" x14ac:dyDescent="0.25">
      <c r="A141" s="244">
        <v>3232</v>
      </c>
      <c r="B141" s="245"/>
      <c r="C141" s="246"/>
      <c r="D141" s="128" t="s">
        <v>172</v>
      </c>
      <c r="E141" s="56"/>
      <c r="F141" s="56">
        <f>1000</f>
        <v>1000</v>
      </c>
      <c r="G141" s="76"/>
    </row>
    <row r="142" spans="1:9" ht="24.95" customHeight="1" x14ac:dyDescent="0.25">
      <c r="A142" s="244">
        <v>3234</v>
      </c>
      <c r="B142" s="245"/>
      <c r="C142" s="246"/>
      <c r="D142" s="128" t="s">
        <v>174</v>
      </c>
      <c r="E142" s="56"/>
      <c r="F142" s="56">
        <f>4434.97</f>
        <v>4434.97</v>
      </c>
      <c r="G142" s="76"/>
    </row>
    <row r="143" spans="1:9" ht="24.95" customHeight="1" x14ac:dyDescent="0.25">
      <c r="A143" s="244">
        <v>3236</v>
      </c>
      <c r="B143" s="245"/>
      <c r="C143" s="246"/>
      <c r="D143" s="129" t="s">
        <v>184</v>
      </c>
      <c r="E143" s="56"/>
      <c r="F143" s="56">
        <f>352.61</f>
        <v>352.61</v>
      </c>
      <c r="G143" s="76"/>
    </row>
    <row r="144" spans="1:9" ht="24.95" customHeight="1" x14ac:dyDescent="0.25">
      <c r="A144" s="244">
        <v>3239</v>
      </c>
      <c r="B144" s="245"/>
      <c r="C144" s="246"/>
      <c r="D144" s="128" t="s">
        <v>177</v>
      </c>
      <c r="E144" s="56"/>
      <c r="F144" s="56">
        <f>59.73+169.59</f>
        <v>229.32</v>
      </c>
      <c r="G144" s="76"/>
    </row>
    <row r="145" spans="1:9" ht="24.95" customHeight="1" x14ac:dyDescent="0.25">
      <c r="A145" s="247">
        <v>329</v>
      </c>
      <c r="B145" s="248"/>
      <c r="C145" s="249"/>
      <c r="D145" s="128" t="s">
        <v>178</v>
      </c>
      <c r="E145" s="147"/>
      <c r="F145" s="147">
        <f>F146+F147</f>
        <v>137.78</v>
      </c>
      <c r="G145" s="76"/>
    </row>
    <row r="146" spans="1:9" ht="24.95" customHeight="1" x14ac:dyDescent="0.25">
      <c r="A146" s="244">
        <v>3291</v>
      </c>
      <c r="B146" s="245"/>
      <c r="C146" s="246"/>
      <c r="D146" s="128" t="s">
        <v>185</v>
      </c>
      <c r="E146" s="56"/>
      <c r="F146" s="56">
        <f>121.87</f>
        <v>121.87</v>
      </c>
      <c r="G146" s="76"/>
    </row>
    <row r="147" spans="1:9" ht="24.95" customHeight="1" x14ac:dyDescent="0.25">
      <c r="A147" s="244">
        <v>3293</v>
      </c>
      <c r="B147" s="245"/>
      <c r="C147" s="246"/>
      <c r="D147" s="128" t="s">
        <v>180</v>
      </c>
      <c r="E147" s="56"/>
      <c r="F147" s="56">
        <f>15.91</f>
        <v>15.91</v>
      </c>
      <c r="G147" s="76"/>
    </row>
    <row r="148" spans="1:9" ht="24.95" customHeight="1" x14ac:dyDescent="0.25">
      <c r="A148" s="250">
        <v>37</v>
      </c>
      <c r="B148" s="251"/>
      <c r="C148" s="252"/>
      <c r="D148" s="169" t="s">
        <v>44</v>
      </c>
      <c r="E148" s="166">
        <v>1123.56</v>
      </c>
      <c r="F148" s="166">
        <f>F149</f>
        <v>868.39</v>
      </c>
      <c r="G148" s="167">
        <f>(F148/E148)*100</f>
        <v>77.289152337213864</v>
      </c>
    </row>
    <row r="149" spans="1:9" ht="24.95" customHeight="1" x14ac:dyDescent="0.25">
      <c r="A149" s="244">
        <v>3722</v>
      </c>
      <c r="B149" s="245"/>
      <c r="C149" s="246"/>
      <c r="D149" s="128" t="s">
        <v>192</v>
      </c>
      <c r="E149" s="56"/>
      <c r="F149" s="56">
        <f>868.39</f>
        <v>868.39</v>
      </c>
      <c r="G149" s="76"/>
    </row>
    <row r="150" spans="1:9" s="79" customFormat="1" ht="24.95" customHeight="1" x14ac:dyDescent="0.2">
      <c r="A150" s="253" t="s">
        <v>112</v>
      </c>
      <c r="B150" s="254"/>
      <c r="C150" s="255"/>
      <c r="D150" s="75" t="s">
        <v>95</v>
      </c>
      <c r="E150" s="76">
        <f>E151</f>
        <v>1016.21</v>
      </c>
      <c r="F150" s="76">
        <f t="shared" ref="F150" si="14">F151</f>
        <v>1016.21</v>
      </c>
      <c r="G150" s="76">
        <f>(F150/E150)*100</f>
        <v>100</v>
      </c>
      <c r="I150" s="159"/>
    </row>
    <row r="151" spans="1:9" ht="24.95" customHeight="1" x14ac:dyDescent="0.25">
      <c r="A151" s="250">
        <v>32</v>
      </c>
      <c r="B151" s="251"/>
      <c r="C151" s="252"/>
      <c r="D151" s="165" t="s">
        <v>29</v>
      </c>
      <c r="E151" s="166">
        <v>1016.21</v>
      </c>
      <c r="F151" s="166">
        <f>F152+F154</f>
        <v>1016.21</v>
      </c>
      <c r="G151" s="167">
        <f>(F151/E151)*100</f>
        <v>100</v>
      </c>
    </row>
    <row r="152" spans="1:9" ht="24.95" customHeight="1" x14ac:dyDescent="0.25">
      <c r="A152" s="247">
        <v>322</v>
      </c>
      <c r="B152" s="248"/>
      <c r="C152" s="249"/>
      <c r="D152" s="128" t="s">
        <v>165</v>
      </c>
      <c r="E152" s="147"/>
      <c r="F152" s="147">
        <f>F153</f>
        <v>0.01</v>
      </c>
      <c r="G152" s="76"/>
    </row>
    <row r="153" spans="1:9" ht="24.95" customHeight="1" x14ac:dyDescent="0.25">
      <c r="A153" s="244">
        <v>3221</v>
      </c>
      <c r="B153" s="245"/>
      <c r="C153" s="246"/>
      <c r="D153" s="128" t="s">
        <v>166</v>
      </c>
      <c r="E153" s="56"/>
      <c r="F153" s="56">
        <v>0.01</v>
      </c>
      <c r="G153" s="76"/>
    </row>
    <row r="154" spans="1:9" ht="24.95" customHeight="1" x14ac:dyDescent="0.25">
      <c r="A154" s="247">
        <v>323</v>
      </c>
      <c r="B154" s="248"/>
      <c r="C154" s="249"/>
      <c r="D154" s="128" t="s">
        <v>170</v>
      </c>
      <c r="E154" s="147"/>
      <c r="F154" s="147">
        <f>F155+F156</f>
        <v>1016.2</v>
      </c>
      <c r="G154" s="76"/>
    </row>
    <row r="155" spans="1:9" ht="24.95" customHeight="1" x14ac:dyDescent="0.25">
      <c r="A155" s="244">
        <v>3234</v>
      </c>
      <c r="B155" s="245"/>
      <c r="C155" s="246"/>
      <c r="D155" s="128" t="s">
        <v>174</v>
      </c>
      <c r="E155" s="56"/>
      <c r="F155" s="56">
        <f>191.44</f>
        <v>191.44</v>
      </c>
      <c r="G155" s="76"/>
    </row>
    <row r="156" spans="1:9" ht="24.95" customHeight="1" x14ac:dyDescent="0.25">
      <c r="A156" s="244">
        <v>3239</v>
      </c>
      <c r="B156" s="245"/>
      <c r="C156" s="246"/>
      <c r="D156" s="128" t="s">
        <v>177</v>
      </c>
      <c r="E156" s="56"/>
      <c r="F156" s="56">
        <f>824.76</f>
        <v>824.76</v>
      </c>
      <c r="G156" s="76"/>
    </row>
    <row r="157" spans="1:9" ht="24.95" customHeight="1" x14ac:dyDescent="0.25">
      <c r="A157" s="253" t="s">
        <v>125</v>
      </c>
      <c r="B157" s="254"/>
      <c r="C157" s="255"/>
      <c r="D157" s="92" t="s">
        <v>126</v>
      </c>
      <c r="E157" s="97">
        <f>E158</f>
        <v>4718.59</v>
      </c>
      <c r="F157" s="148">
        <f>F158</f>
        <v>0</v>
      </c>
      <c r="G157" s="76">
        <f>(F157/E157)*100</f>
        <v>0</v>
      </c>
    </row>
    <row r="158" spans="1:9" ht="24.95" customHeight="1" x14ac:dyDescent="0.25">
      <c r="A158" s="250">
        <v>32</v>
      </c>
      <c r="B158" s="251"/>
      <c r="C158" s="252"/>
      <c r="D158" s="165" t="s">
        <v>29</v>
      </c>
      <c r="E158" s="166">
        <v>4718.59</v>
      </c>
      <c r="F158" s="166"/>
      <c r="G158" s="167">
        <f>(F158/E158)*100</f>
        <v>0</v>
      </c>
    </row>
    <row r="159" spans="1:9" s="79" customFormat="1" ht="24.95" customHeight="1" x14ac:dyDescent="0.2">
      <c r="A159" s="253" t="s">
        <v>85</v>
      </c>
      <c r="B159" s="254"/>
      <c r="C159" s="255"/>
      <c r="D159" s="75" t="s">
        <v>51</v>
      </c>
      <c r="E159" s="76">
        <f>E160</f>
        <v>315252.56</v>
      </c>
      <c r="F159" s="76">
        <f>F160</f>
        <v>269998.86</v>
      </c>
      <c r="G159" s="76">
        <f t="shared" ref="G159:G236" si="15">(F159/E159)*100</f>
        <v>85.645255347014469</v>
      </c>
      <c r="I159" s="159"/>
    </row>
    <row r="160" spans="1:9" ht="24.95" customHeight="1" x14ac:dyDescent="0.25">
      <c r="A160" s="256">
        <v>3</v>
      </c>
      <c r="B160" s="257"/>
      <c r="C160" s="258"/>
      <c r="D160" s="65" t="s">
        <v>19</v>
      </c>
      <c r="E160" s="56">
        <f>E161+E174+E178</f>
        <v>315252.56</v>
      </c>
      <c r="F160" s="56">
        <f>F161+F174+F178</f>
        <v>269998.86</v>
      </c>
      <c r="G160" s="76"/>
    </row>
    <row r="161" spans="1:7" ht="24.95" customHeight="1" x14ac:dyDescent="0.25">
      <c r="A161" s="250">
        <v>32</v>
      </c>
      <c r="B161" s="251"/>
      <c r="C161" s="252"/>
      <c r="D161" s="165" t="s">
        <v>29</v>
      </c>
      <c r="E161" s="166">
        <f>66.36+66.36+265.45+144000+91000+398.17+66.36+200+800+38.08+100+100+472.17+400+663.61</f>
        <v>238636.56</v>
      </c>
      <c r="F161" s="166">
        <f>F162+F164+F168+F170</f>
        <v>220384.27</v>
      </c>
      <c r="G161" s="167">
        <f t="shared" si="15"/>
        <v>92.351427627015738</v>
      </c>
    </row>
    <row r="162" spans="1:7" ht="24.95" customHeight="1" x14ac:dyDescent="0.25">
      <c r="A162" s="247">
        <v>321</v>
      </c>
      <c r="B162" s="248"/>
      <c r="C162" s="249"/>
      <c r="D162" s="128" t="s">
        <v>160</v>
      </c>
      <c r="E162" s="147"/>
      <c r="F162" s="147">
        <f>F163</f>
        <v>324.74</v>
      </c>
      <c r="G162" s="76"/>
    </row>
    <row r="163" spans="1:7" ht="24.95" customHeight="1" x14ac:dyDescent="0.25">
      <c r="A163" s="244">
        <v>3211</v>
      </c>
      <c r="B163" s="245"/>
      <c r="C163" s="246"/>
      <c r="D163" s="128" t="s">
        <v>161</v>
      </c>
      <c r="E163" s="56"/>
      <c r="F163" s="56">
        <f>324.74</f>
        <v>324.74</v>
      </c>
      <c r="G163" s="76"/>
    </row>
    <row r="164" spans="1:7" ht="24.95" customHeight="1" x14ac:dyDescent="0.25">
      <c r="A164" s="247">
        <v>322</v>
      </c>
      <c r="B164" s="248"/>
      <c r="C164" s="249"/>
      <c r="D164" s="128" t="s">
        <v>165</v>
      </c>
      <c r="E164" s="147"/>
      <c r="F164" s="147">
        <f>F165+F167+F166</f>
        <v>75512.670000000013</v>
      </c>
      <c r="G164" s="76"/>
    </row>
    <row r="165" spans="1:7" ht="24.95" customHeight="1" x14ac:dyDescent="0.25">
      <c r="A165" s="244">
        <v>3221</v>
      </c>
      <c r="B165" s="245"/>
      <c r="C165" s="246"/>
      <c r="D165" s="128" t="s">
        <v>166</v>
      </c>
      <c r="E165" s="56"/>
      <c r="F165" s="56">
        <f>600.01+1821.45</f>
        <v>2421.46</v>
      </c>
      <c r="G165" s="76"/>
    </row>
    <row r="166" spans="1:7" ht="24.95" customHeight="1" x14ac:dyDescent="0.25">
      <c r="A166" s="244">
        <v>3222</v>
      </c>
      <c r="B166" s="245"/>
      <c r="C166" s="246"/>
      <c r="D166" s="128" t="s">
        <v>167</v>
      </c>
      <c r="E166" s="56"/>
      <c r="F166" s="56">
        <f>72898.21</f>
        <v>72898.210000000006</v>
      </c>
      <c r="G166" s="76"/>
    </row>
    <row r="167" spans="1:7" ht="24.95" customHeight="1" x14ac:dyDescent="0.25">
      <c r="A167" s="244">
        <v>3225</v>
      </c>
      <c r="B167" s="245"/>
      <c r="C167" s="246"/>
      <c r="D167" s="128" t="s">
        <v>169</v>
      </c>
      <c r="E167" s="56"/>
      <c r="F167" s="56">
        <f>193</f>
        <v>193</v>
      </c>
      <c r="G167" s="76"/>
    </row>
    <row r="168" spans="1:7" ht="24.95" customHeight="1" x14ac:dyDescent="0.25">
      <c r="A168" s="247">
        <v>323</v>
      </c>
      <c r="B168" s="248"/>
      <c r="C168" s="249"/>
      <c r="D168" s="128" t="s">
        <v>170</v>
      </c>
      <c r="E168" s="147"/>
      <c r="F168" s="147">
        <f>F169</f>
        <v>143286.94999999998</v>
      </c>
      <c r="G168" s="76"/>
    </row>
    <row r="169" spans="1:7" ht="24.95" customHeight="1" x14ac:dyDescent="0.25">
      <c r="A169" s="244">
        <v>3239</v>
      </c>
      <c r="B169" s="245"/>
      <c r="C169" s="246"/>
      <c r="D169" s="128" t="s">
        <v>177</v>
      </c>
      <c r="E169" s="56"/>
      <c r="F169" s="56">
        <f>40.08+49.76+143197.11</f>
        <v>143286.94999999998</v>
      </c>
      <c r="G169" s="76"/>
    </row>
    <row r="170" spans="1:7" ht="24.95" customHeight="1" x14ac:dyDescent="0.25">
      <c r="A170" s="247">
        <v>329</v>
      </c>
      <c r="B170" s="248"/>
      <c r="C170" s="249"/>
      <c r="D170" s="128" t="s">
        <v>178</v>
      </c>
      <c r="E170" s="147"/>
      <c r="F170" s="147">
        <f>SUM(F171:F173)</f>
        <v>1259.9100000000001</v>
      </c>
      <c r="G170" s="76"/>
    </row>
    <row r="171" spans="1:7" ht="24.95" customHeight="1" x14ac:dyDescent="0.25">
      <c r="A171" s="244">
        <v>3291</v>
      </c>
      <c r="B171" s="245"/>
      <c r="C171" s="246"/>
      <c r="D171" s="128" t="s">
        <v>185</v>
      </c>
      <c r="E171" s="56"/>
      <c r="F171" s="56">
        <f>472.17+322.55</f>
        <v>794.72</v>
      </c>
      <c r="G171" s="76"/>
    </row>
    <row r="172" spans="1:7" ht="24.95" customHeight="1" x14ac:dyDescent="0.25">
      <c r="A172" s="244">
        <v>3293</v>
      </c>
      <c r="B172" s="245"/>
      <c r="C172" s="246"/>
      <c r="D172" s="128" t="s">
        <v>180</v>
      </c>
      <c r="E172" s="56"/>
      <c r="F172" s="56">
        <f>40.24</f>
        <v>40.24</v>
      </c>
      <c r="G172" s="76"/>
    </row>
    <row r="173" spans="1:7" ht="24.95" customHeight="1" x14ac:dyDescent="0.25">
      <c r="A173" s="244">
        <v>3299</v>
      </c>
      <c r="B173" s="245"/>
      <c r="C173" s="246"/>
      <c r="D173" s="128" t="s">
        <v>178</v>
      </c>
      <c r="E173" s="56"/>
      <c r="F173" s="56">
        <f>344.45+80.5</f>
        <v>424.95</v>
      </c>
      <c r="G173" s="76"/>
    </row>
    <row r="174" spans="1:7" ht="24.95" customHeight="1" x14ac:dyDescent="0.25">
      <c r="A174" s="250">
        <v>37</v>
      </c>
      <c r="B174" s="251"/>
      <c r="C174" s="252"/>
      <c r="D174" s="169" t="s">
        <v>44</v>
      </c>
      <c r="E174" s="166">
        <f>1061.78+73130.27</f>
        <v>74192.05</v>
      </c>
      <c r="F174" s="166">
        <f>F175</f>
        <v>47190.64</v>
      </c>
      <c r="G174" s="167">
        <f t="shared" si="15"/>
        <v>63.606060218042224</v>
      </c>
    </row>
    <row r="175" spans="1:7" ht="24.95" customHeight="1" x14ac:dyDescent="0.25">
      <c r="A175" s="247">
        <v>372</v>
      </c>
      <c r="B175" s="248"/>
      <c r="C175" s="249"/>
      <c r="D175" s="128" t="s">
        <v>190</v>
      </c>
      <c r="E175" s="147"/>
      <c r="F175" s="147">
        <f>F176+F177</f>
        <v>47190.64</v>
      </c>
      <c r="G175" s="76"/>
    </row>
    <row r="176" spans="1:7" ht="24.95" customHeight="1" x14ac:dyDescent="0.25">
      <c r="A176" s="244">
        <v>3721</v>
      </c>
      <c r="B176" s="245"/>
      <c r="C176" s="246"/>
      <c r="D176" s="128" t="s">
        <v>191</v>
      </c>
      <c r="E176" s="56"/>
      <c r="F176" s="56">
        <f>1390.13</f>
        <v>1390.13</v>
      </c>
      <c r="G176" s="76"/>
    </row>
    <row r="177" spans="1:9" ht="24.95" customHeight="1" x14ac:dyDescent="0.25">
      <c r="A177" s="244">
        <v>3722</v>
      </c>
      <c r="B177" s="245"/>
      <c r="C177" s="246"/>
      <c r="D177" s="128" t="s">
        <v>192</v>
      </c>
      <c r="E177" s="56"/>
      <c r="F177" s="56">
        <f>45800.51</f>
        <v>45800.51</v>
      </c>
      <c r="G177" s="76"/>
    </row>
    <row r="178" spans="1:9" ht="24.95" customHeight="1" x14ac:dyDescent="0.25">
      <c r="A178" s="250">
        <v>38</v>
      </c>
      <c r="B178" s="251"/>
      <c r="C178" s="252"/>
      <c r="D178" s="170" t="s">
        <v>124</v>
      </c>
      <c r="E178" s="166">
        <v>2423.9499999999998</v>
      </c>
      <c r="F178" s="166">
        <f>F179</f>
        <v>2423.9499999999998</v>
      </c>
      <c r="G178" s="167">
        <f t="shared" si="15"/>
        <v>100</v>
      </c>
    </row>
    <row r="179" spans="1:9" ht="24.95" customHeight="1" x14ac:dyDescent="0.25">
      <c r="A179" s="244">
        <v>3812</v>
      </c>
      <c r="B179" s="245"/>
      <c r="C179" s="246"/>
      <c r="D179" s="128" t="s">
        <v>202</v>
      </c>
      <c r="E179" s="56"/>
      <c r="F179" s="56">
        <f>2423.95</f>
        <v>2423.9499999999998</v>
      </c>
      <c r="G179" s="76"/>
    </row>
    <row r="180" spans="1:9" s="79" customFormat="1" ht="24.95" customHeight="1" x14ac:dyDescent="0.2">
      <c r="A180" s="253" t="s">
        <v>113</v>
      </c>
      <c r="B180" s="254"/>
      <c r="C180" s="255"/>
      <c r="D180" s="75" t="s">
        <v>96</v>
      </c>
      <c r="E180" s="76">
        <f>E181</f>
        <v>663.61</v>
      </c>
      <c r="F180" s="76">
        <f t="shared" ref="F180:F181" si="16">F181</f>
        <v>663.61</v>
      </c>
      <c r="G180" s="76">
        <f t="shared" si="15"/>
        <v>100</v>
      </c>
      <c r="I180" s="159"/>
    </row>
    <row r="181" spans="1:9" ht="24.95" customHeight="1" x14ac:dyDescent="0.25">
      <c r="A181" s="256">
        <v>3</v>
      </c>
      <c r="B181" s="257"/>
      <c r="C181" s="258"/>
      <c r="D181" s="65" t="s">
        <v>19</v>
      </c>
      <c r="E181" s="56">
        <f>E182</f>
        <v>663.61</v>
      </c>
      <c r="F181" s="56">
        <f t="shared" si="16"/>
        <v>663.61</v>
      </c>
      <c r="G181" s="76"/>
    </row>
    <row r="182" spans="1:9" ht="24.95" customHeight="1" x14ac:dyDescent="0.25">
      <c r="A182" s="250">
        <v>32</v>
      </c>
      <c r="B182" s="251"/>
      <c r="C182" s="252"/>
      <c r="D182" s="165" t="s">
        <v>29</v>
      </c>
      <c r="E182" s="166">
        <v>663.61</v>
      </c>
      <c r="F182" s="166">
        <f>F183+F185</f>
        <v>663.61</v>
      </c>
      <c r="G182" s="167">
        <f t="shared" si="15"/>
        <v>100</v>
      </c>
    </row>
    <row r="183" spans="1:9" ht="24.95" customHeight="1" x14ac:dyDescent="0.25">
      <c r="A183" s="247">
        <v>322</v>
      </c>
      <c r="B183" s="248"/>
      <c r="C183" s="249"/>
      <c r="D183" s="128" t="s">
        <v>165</v>
      </c>
      <c r="E183" s="147"/>
      <c r="F183" s="147">
        <f>F184</f>
        <v>260.56</v>
      </c>
      <c r="G183" s="76"/>
    </row>
    <row r="184" spans="1:9" ht="24.95" customHeight="1" x14ac:dyDescent="0.25">
      <c r="A184" s="244">
        <v>3221</v>
      </c>
      <c r="B184" s="245"/>
      <c r="C184" s="246"/>
      <c r="D184" s="128" t="s">
        <v>166</v>
      </c>
      <c r="E184" s="56"/>
      <c r="F184" s="56">
        <f>260.56</f>
        <v>260.56</v>
      </c>
      <c r="G184" s="76"/>
    </row>
    <row r="185" spans="1:9" ht="24.95" customHeight="1" x14ac:dyDescent="0.25">
      <c r="A185" s="247">
        <v>323</v>
      </c>
      <c r="B185" s="248"/>
      <c r="C185" s="249"/>
      <c r="D185" s="128" t="s">
        <v>170</v>
      </c>
      <c r="E185" s="147"/>
      <c r="F185" s="147">
        <f>F186+F187</f>
        <v>403.05</v>
      </c>
      <c r="G185" s="76"/>
    </row>
    <row r="186" spans="1:9" ht="24.95" customHeight="1" x14ac:dyDescent="0.25">
      <c r="A186" s="244">
        <v>3231</v>
      </c>
      <c r="B186" s="245"/>
      <c r="C186" s="246"/>
      <c r="D186" s="128" t="s">
        <v>171</v>
      </c>
      <c r="E186" s="56"/>
      <c r="F186" s="56">
        <f>192.69</f>
        <v>192.69</v>
      </c>
      <c r="G186" s="76"/>
    </row>
    <row r="187" spans="1:9" ht="24.95" customHeight="1" x14ac:dyDescent="0.25">
      <c r="A187" s="244">
        <v>3239</v>
      </c>
      <c r="B187" s="245"/>
      <c r="C187" s="246"/>
      <c r="D187" s="128" t="s">
        <v>177</v>
      </c>
      <c r="E187" s="56"/>
      <c r="F187" s="56">
        <f>210.36</f>
        <v>210.36</v>
      </c>
      <c r="G187" s="76"/>
    </row>
    <row r="188" spans="1:9" s="79" customFormat="1" ht="24.95" customHeight="1" x14ac:dyDescent="0.2">
      <c r="A188" s="253" t="s">
        <v>90</v>
      </c>
      <c r="B188" s="254"/>
      <c r="C188" s="255"/>
      <c r="D188" s="75" t="s">
        <v>53</v>
      </c>
      <c r="E188" s="76">
        <f>E189</f>
        <v>1116.07</v>
      </c>
      <c r="F188" s="76">
        <f t="shared" ref="F188" si="17">F189</f>
        <v>1111.29</v>
      </c>
      <c r="G188" s="76">
        <f t="shared" si="15"/>
        <v>99.571711451790662</v>
      </c>
      <c r="I188" s="159"/>
    </row>
    <row r="189" spans="1:9" ht="24.95" customHeight="1" x14ac:dyDescent="0.25">
      <c r="A189" s="250">
        <v>32</v>
      </c>
      <c r="B189" s="251"/>
      <c r="C189" s="252"/>
      <c r="D189" s="165" t="s">
        <v>29</v>
      </c>
      <c r="E189" s="166">
        <f>199.09+66.36+199.08+26.54+225+300+100</f>
        <v>1116.07</v>
      </c>
      <c r="F189" s="166">
        <f>F190+F192+F195</f>
        <v>1111.29</v>
      </c>
      <c r="G189" s="167">
        <f t="shared" si="15"/>
        <v>99.571711451790662</v>
      </c>
    </row>
    <row r="190" spans="1:9" ht="24.95" customHeight="1" x14ac:dyDescent="0.25">
      <c r="A190" s="247">
        <v>321</v>
      </c>
      <c r="B190" s="248"/>
      <c r="C190" s="249"/>
      <c r="D190" s="128" t="s">
        <v>160</v>
      </c>
      <c r="E190" s="147"/>
      <c r="F190" s="147">
        <f>F191</f>
        <v>258.51</v>
      </c>
      <c r="G190" s="76"/>
    </row>
    <row r="191" spans="1:9" ht="24.95" customHeight="1" x14ac:dyDescent="0.25">
      <c r="A191" s="244">
        <v>3211</v>
      </c>
      <c r="B191" s="245"/>
      <c r="C191" s="246"/>
      <c r="D191" s="128" t="s">
        <v>161</v>
      </c>
      <c r="E191" s="56"/>
      <c r="F191" s="56">
        <v>258.51</v>
      </c>
      <c r="G191" s="76"/>
    </row>
    <row r="192" spans="1:9" ht="24.95" customHeight="1" x14ac:dyDescent="0.25">
      <c r="A192" s="247">
        <v>322</v>
      </c>
      <c r="B192" s="248"/>
      <c r="C192" s="249"/>
      <c r="D192" s="128" t="s">
        <v>165</v>
      </c>
      <c r="E192" s="147"/>
      <c r="F192" s="147">
        <f>F193+F194</f>
        <v>494.58000000000004</v>
      </c>
      <c r="G192" s="76"/>
    </row>
    <row r="193" spans="1:9" ht="24.95" customHeight="1" x14ac:dyDescent="0.25">
      <c r="A193" s="244">
        <v>3221</v>
      </c>
      <c r="B193" s="245"/>
      <c r="C193" s="246"/>
      <c r="D193" s="128" t="s">
        <v>166</v>
      </c>
      <c r="E193" s="56"/>
      <c r="F193" s="56">
        <f>370.6</f>
        <v>370.6</v>
      </c>
      <c r="G193" s="76"/>
    </row>
    <row r="194" spans="1:9" ht="24.95" customHeight="1" x14ac:dyDescent="0.25">
      <c r="A194" s="244">
        <v>3225</v>
      </c>
      <c r="B194" s="245"/>
      <c r="C194" s="246"/>
      <c r="D194" s="128" t="s">
        <v>169</v>
      </c>
      <c r="E194" s="56"/>
      <c r="F194" s="56">
        <f>123.98</f>
        <v>123.98</v>
      </c>
      <c r="G194" s="76"/>
    </row>
    <row r="195" spans="1:9" ht="24.95" customHeight="1" x14ac:dyDescent="0.25">
      <c r="A195" s="247">
        <v>329</v>
      </c>
      <c r="B195" s="248"/>
      <c r="C195" s="249"/>
      <c r="D195" s="128" t="s">
        <v>178</v>
      </c>
      <c r="E195" s="147"/>
      <c r="F195" s="147">
        <f>F196+F197</f>
        <v>358.2</v>
      </c>
      <c r="G195" s="76"/>
    </row>
    <row r="196" spans="1:9" ht="24.95" customHeight="1" x14ac:dyDescent="0.25">
      <c r="A196" s="244">
        <v>3293</v>
      </c>
      <c r="B196" s="245"/>
      <c r="C196" s="246"/>
      <c r="D196" s="128" t="s">
        <v>180</v>
      </c>
      <c r="E196" s="56"/>
      <c r="F196" s="56">
        <f>235.28</f>
        <v>235.28</v>
      </c>
      <c r="G196" s="76"/>
    </row>
    <row r="197" spans="1:9" ht="24.95" customHeight="1" x14ac:dyDescent="0.25">
      <c r="A197" s="244">
        <v>3299</v>
      </c>
      <c r="B197" s="245"/>
      <c r="C197" s="246"/>
      <c r="D197" s="128" t="s">
        <v>178</v>
      </c>
      <c r="E197" s="56"/>
      <c r="F197" s="56">
        <f>122.92</f>
        <v>122.92</v>
      </c>
      <c r="G197" s="76"/>
    </row>
    <row r="198" spans="1:9" s="78" customFormat="1" ht="24.95" customHeight="1" x14ac:dyDescent="0.25">
      <c r="A198" s="253" t="s">
        <v>116</v>
      </c>
      <c r="B198" s="254"/>
      <c r="C198" s="255"/>
      <c r="D198" s="80" t="s">
        <v>98</v>
      </c>
      <c r="E198" s="76">
        <f>E199</f>
        <v>265.45</v>
      </c>
      <c r="F198" s="76">
        <f t="shared" ref="F198" si="18">F199</f>
        <v>265.45</v>
      </c>
      <c r="G198" s="76">
        <f t="shared" si="15"/>
        <v>100</v>
      </c>
      <c r="I198" s="158"/>
    </row>
    <row r="199" spans="1:9" ht="24.95" customHeight="1" x14ac:dyDescent="0.25">
      <c r="A199" s="250">
        <v>32</v>
      </c>
      <c r="B199" s="251"/>
      <c r="C199" s="252"/>
      <c r="D199" s="165" t="s">
        <v>29</v>
      </c>
      <c r="E199" s="166">
        <f>265.45</f>
        <v>265.45</v>
      </c>
      <c r="F199" s="166">
        <f>F200</f>
        <v>265.45</v>
      </c>
      <c r="G199" s="167">
        <f t="shared" si="15"/>
        <v>100</v>
      </c>
    </row>
    <row r="200" spans="1:9" ht="24.95" customHeight="1" x14ac:dyDescent="0.25">
      <c r="A200" s="247">
        <v>322</v>
      </c>
      <c r="B200" s="248"/>
      <c r="C200" s="249"/>
      <c r="D200" s="128" t="s">
        <v>165</v>
      </c>
      <c r="E200" s="147">
        <f>E201</f>
        <v>0</v>
      </c>
      <c r="F200" s="147">
        <f>F201</f>
        <v>265.45</v>
      </c>
      <c r="G200" s="76"/>
    </row>
    <row r="201" spans="1:9" ht="24.95" customHeight="1" x14ac:dyDescent="0.25">
      <c r="A201" s="244">
        <v>3221</v>
      </c>
      <c r="B201" s="245"/>
      <c r="C201" s="246"/>
      <c r="D201" s="128" t="s">
        <v>166</v>
      </c>
      <c r="E201" s="56"/>
      <c r="F201" s="56">
        <f>265.45</f>
        <v>265.45</v>
      </c>
      <c r="G201" s="76"/>
    </row>
    <row r="202" spans="1:9" ht="24.95" customHeight="1" x14ac:dyDescent="0.25">
      <c r="A202" s="259" t="s">
        <v>69</v>
      </c>
      <c r="B202" s="260"/>
      <c r="C202" s="261"/>
      <c r="D202" s="64" t="s">
        <v>70</v>
      </c>
      <c r="E202" s="71">
        <f>E204+E207+E209+E212</f>
        <v>372.15999999999997</v>
      </c>
      <c r="F202" s="71">
        <f>F204+F207+F209+F212</f>
        <v>160.54000000000002</v>
      </c>
      <c r="G202" s="71"/>
    </row>
    <row r="203" spans="1:9" s="79" customFormat="1" ht="24.95" customHeight="1" x14ac:dyDescent="0.2">
      <c r="A203" s="253" t="s">
        <v>87</v>
      </c>
      <c r="B203" s="254"/>
      <c r="C203" s="255"/>
      <c r="D203" s="98" t="s">
        <v>52</v>
      </c>
      <c r="E203" s="76">
        <f>E204</f>
        <v>159.26</v>
      </c>
      <c r="F203" s="76">
        <f>F204</f>
        <v>0.03</v>
      </c>
      <c r="G203" s="76">
        <f t="shared" si="15"/>
        <v>1.8837121687806102E-2</v>
      </c>
      <c r="I203" s="159"/>
    </row>
    <row r="204" spans="1:9" ht="24.95" customHeight="1" x14ac:dyDescent="0.25">
      <c r="A204" s="250">
        <v>34</v>
      </c>
      <c r="B204" s="251"/>
      <c r="C204" s="252"/>
      <c r="D204" s="165" t="s">
        <v>43</v>
      </c>
      <c r="E204" s="166">
        <f>66.36+26.54+66.36</f>
        <v>159.26</v>
      </c>
      <c r="F204" s="166">
        <f>F205</f>
        <v>0.03</v>
      </c>
      <c r="G204" s="167">
        <f t="shared" si="15"/>
        <v>1.8837121687806102E-2</v>
      </c>
    </row>
    <row r="205" spans="1:9" ht="24.95" customHeight="1" x14ac:dyDescent="0.25">
      <c r="A205" s="244">
        <v>3431</v>
      </c>
      <c r="B205" s="245"/>
      <c r="C205" s="246"/>
      <c r="D205" s="128" t="s">
        <v>188</v>
      </c>
      <c r="E205" s="56"/>
      <c r="F205" s="56">
        <f>0.03</f>
        <v>0.03</v>
      </c>
      <c r="G205" s="76"/>
    </row>
    <row r="206" spans="1:9" s="79" customFormat="1" ht="24.95" customHeight="1" x14ac:dyDescent="0.2">
      <c r="A206" s="253" t="s">
        <v>111</v>
      </c>
      <c r="B206" s="254"/>
      <c r="C206" s="255"/>
      <c r="D206" s="98" t="s">
        <v>93</v>
      </c>
      <c r="E206" s="76">
        <f>E207</f>
        <v>0</v>
      </c>
      <c r="F206" s="76">
        <f>F207</f>
        <v>0</v>
      </c>
      <c r="G206" s="76"/>
      <c r="I206" s="159"/>
    </row>
    <row r="207" spans="1:9" ht="24.95" customHeight="1" x14ac:dyDescent="0.25">
      <c r="A207" s="250">
        <v>34</v>
      </c>
      <c r="B207" s="251"/>
      <c r="C207" s="252"/>
      <c r="D207" s="165" t="s">
        <v>43</v>
      </c>
      <c r="E207" s="166">
        <v>0</v>
      </c>
      <c r="F207" s="166"/>
      <c r="G207" s="167"/>
    </row>
    <row r="208" spans="1:9" s="79" customFormat="1" ht="24.95" customHeight="1" x14ac:dyDescent="0.2">
      <c r="A208" s="253" t="s">
        <v>89</v>
      </c>
      <c r="B208" s="254"/>
      <c r="C208" s="255"/>
      <c r="D208" s="98" t="s">
        <v>110</v>
      </c>
      <c r="E208" s="76">
        <f>E209</f>
        <v>200</v>
      </c>
      <c r="F208" s="76">
        <f>F209</f>
        <v>147.61000000000001</v>
      </c>
      <c r="G208" s="76">
        <f t="shared" si="15"/>
        <v>73.805000000000007</v>
      </c>
      <c r="I208" s="159"/>
    </row>
    <row r="209" spans="1:9" ht="24.95" customHeight="1" x14ac:dyDescent="0.25">
      <c r="A209" s="250">
        <v>34</v>
      </c>
      <c r="B209" s="251"/>
      <c r="C209" s="252"/>
      <c r="D209" s="165" t="s">
        <v>43</v>
      </c>
      <c r="E209" s="166">
        <v>200</v>
      </c>
      <c r="F209" s="166">
        <f>F210</f>
        <v>147.61000000000001</v>
      </c>
      <c r="G209" s="167">
        <f t="shared" si="15"/>
        <v>73.805000000000007</v>
      </c>
    </row>
    <row r="210" spans="1:9" ht="24.95" customHeight="1" x14ac:dyDescent="0.25">
      <c r="A210" s="244">
        <v>3431</v>
      </c>
      <c r="B210" s="245"/>
      <c r="C210" s="246"/>
      <c r="D210" s="128" t="s">
        <v>188</v>
      </c>
      <c r="E210" s="56"/>
      <c r="F210" s="56">
        <f>147.61</f>
        <v>147.61000000000001</v>
      </c>
      <c r="G210" s="76"/>
    </row>
    <row r="211" spans="1:9" ht="24.95" customHeight="1" x14ac:dyDescent="0.25">
      <c r="A211" s="253" t="s">
        <v>112</v>
      </c>
      <c r="B211" s="254"/>
      <c r="C211" s="255"/>
      <c r="D211" s="155" t="s">
        <v>95</v>
      </c>
      <c r="E211" s="76">
        <f>E212</f>
        <v>12.9</v>
      </c>
      <c r="F211" s="76">
        <f>F212</f>
        <v>12.9</v>
      </c>
      <c r="G211" s="76"/>
    </row>
    <row r="212" spans="1:9" ht="24.95" customHeight="1" x14ac:dyDescent="0.25">
      <c r="A212" s="250">
        <v>34</v>
      </c>
      <c r="B212" s="251"/>
      <c r="C212" s="252"/>
      <c r="D212" s="165" t="s">
        <v>43</v>
      </c>
      <c r="E212" s="166">
        <v>12.9</v>
      </c>
      <c r="F212" s="166">
        <f>F213</f>
        <v>12.9</v>
      </c>
      <c r="G212" s="167">
        <f t="shared" si="15"/>
        <v>100</v>
      </c>
    </row>
    <row r="213" spans="1:9" ht="24.95" customHeight="1" x14ac:dyDescent="0.25">
      <c r="A213" s="244">
        <v>3431</v>
      </c>
      <c r="B213" s="245"/>
      <c r="C213" s="246"/>
      <c r="D213" s="128" t="s">
        <v>188</v>
      </c>
      <c r="E213" s="56"/>
      <c r="F213" s="56">
        <f>12.9</f>
        <v>12.9</v>
      </c>
      <c r="G213" s="76"/>
    </row>
    <row r="214" spans="1:9" ht="24.95" customHeight="1" x14ac:dyDescent="0.25">
      <c r="A214" s="259" t="s">
        <v>71</v>
      </c>
      <c r="B214" s="260"/>
      <c r="C214" s="261"/>
      <c r="D214" s="64" t="s">
        <v>72</v>
      </c>
      <c r="E214" s="71">
        <f>E216+E218+E221+E225+E234+E229</f>
        <v>29551.929999999997</v>
      </c>
      <c r="F214" s="71">
        <f>F216+F218+F221+F225+F234+F229</f>
        <v>26153.690000000002</v>
      </c>
      <c r="G214" s="71"/>
    </row>
    <row r="215" spans="1:9" s="79" customFormat="1" ht="24.95" customHeight="1" x14ac:dyDescent="0.2">
      <c r="A215" s="253" t="s">
        <v>87</v>
      </c>
      <c r="B215" s="254"/>
      <c r="C215" s="255"/>
      <c r="D215" s="98" t="s">
        <v>52</v>
      </c>
      <c r="E215" s="76">
        <f>E216</f>
        <v>1924.49</v>
      </c>
      <c r="F215" s="76">
        <f>F216</f>
        <v>0</v>
      </c>
      <c r="G215" s="76">
        <f t="shared" si="15"/>
        <v>0</v>
      </c>
      <c r="I215" s="159"/>
    </row>
    <row r="216" spans="1:9" ht="24.95" customHeight="1" x14ac:dyDescent="0.25">
      <c r="A216" s="250">
        <v>42</v>
      </c>
      <c r="B216" s="251"/>
      <c r="C216" s="252"/>
      <c r="D216" s="165" t="s">
        <v>37</v>
      </c>
      <c r="E216" s="166">
        <f>1327.23+265.45+66.36+265.45</f>
        <v>1924.49</v>
      </c>
      <c r="F216" s="166"/>
      <c r="G216" s="167">
        <f t="shared" si="15"/>
        <v>0</v>
      </c>
    </row>
    <row r="217" spans="1:9" s="79" customFormat="1" ht="24.95" customHeight="1" x14ac:dyDescent="0.2">
      <c r="A217" s="253" t="s">
        <v>111</v>
      </c>
      <c r="B217" s="254"/>
      <c r="C217" s="255"/>
      <c r="D217" s="98" t="s">
        <v>93</v>
      </c>
      <c r="E217" s="76">
        <f>E218</f>
        <v>1388</v>
      </c>
      <c r="F217" s="76">
        <f>F218</f>
        <v>1388</v>
      </c>
      <c r="G217" s="76">
        <f t="shared" si="15"/>
        <v>100</v>
      </c>
      <c r="I217" s="159"/>
    </row>
    <row r="218" spans="1:9" ht="24.95" customHeight="1" x14ac:dyDescent="0.25">
      <c r="A218" s="250">
        <v>42</v>
      </c>
      <c r="B218" s="251"/>
      <c r="C218" s="252"/>
      <c r="D218" s="165" t="s">
        <v>37</v>
      </c>
      <c r="E218" s="166">
        <v>1388</v>
      </c>
      <c r="F218" s="166">
        <f>F219</f>
        <v>1388</v>
      </c>
      <c r="G218" s="167">
        <f t="shared" si="15"/>
        <v>100</v>
      </c>
    </row>
    <row r="219" spans="1:9" ht="24.95" customHeight="1" x14ac:dyDescent="0.25">
      <c r="A219" s="244">
        <v>4221</v>
      </c>
      <c r="B219" s="245"/>
      <c r="C219" s="246"/>
      <c r="D219" s="129" t="s">
        <v>194</v>
      </c>
      <c r="E219" s="56"/>
      <c r="F219" s="56">
        <f>350+1038</f>
        <v>1388</v>
      </c>
      <c r="G219" s="76"/>
    </row>
    <row r="220" spans="1:9" s="79" customFormat="1" ht="24.95" customHeight="1" x14ac:dyDescent="0.2">
      <c r="A220" s="253" t="s">
        <v>89</v>
      </c>
      <c r="B220" s="254"/>
      <c r="C220" s="255"/>
      <c r="D220" s="98" t="s">
        <v>110</v>
      </c>
      <c r="E220" s="76">
        <f>E221</f>
        <v>13400</v>
      </c>
      <c r="F220" s="76">
        <f>F221</f>
        <v>13251.32</v>
      </c>
      <c r="G220" s="76">
        <f t="shared" si="15"/>
        <v>98.890447761194025</v>
      </c>
      <c r="I220" s="159"/>
    </row>
    <row r="221" spans="1:9" ht="24.95" customHeight="1" x14ac:dyDescent="0.25">
      <c r="A221" s="250">
        <v>42</v>
      </c>
      <c r="B221" s="251"/>
      <c r="C221" s="252"/>
      <c r="D221" s="165" t="s">
        <v>37</v>
      </c>
      <c r="E221" s="166">
        <f>2200+11200</f>
        <v>13400</v>
      </c>
      <c r="F221" s="166">
        <f>F222+F223</f>
        <v>13251.32</v>
      </c>
      <c r="G221" s="167">
        <f t="shared" si="15"/>
        <v>98.890447761194025</v>
      </c>
    </row>
    <row r="222" spans="1:9" ht="24.95" customHeight="1" x14ac:dyDescent="0.25">
      <c r="A222" s="244">
        <v>4221</v>
      </c>
      <c r="B222" s="245"/>
      <c r="C222" s="246"/>
      <c r="D222" s="129" t="s">
        <v>194</v>
      </c>
      <c r="E222" s="56"/>
      <c r="F222" s="56">
        <f>2151.07</f>
        <v>2151.0700000000002</v>
      </c>
      <c r="G222" s="76"/>
    </row>
    <row r="223" spans="1:9" ht="24.95" customHeight="1" x14ac:dyDescent="0.25">
      <c r="A223" s="244">
        <v>4227</v>
      </c>
      <c r="B223" s="245"/>
      <c r="C223" s="246"/>
      <c r="D223" s="128" t="s">
        <v>195</v>
      </c>
      <c r="E223" s="56"/>
      <c r="F223" s="56">
        <f>11100.25</f>
        <v>11100.25</v>
      </c>
      <c r="G223" s="76"/>
    </row>
    <row r="224" spans="1:9" s="79" customFormat="1" ht="24.95" customHeight="1" x14ac:dyDescent="0.2">
      <c r="A224" s="253" t="s">
        <v>112</v>
      </c>
      <c r="B224" s="254"/>
      <c r="C224" s="255"/>
      <c r="D224" s="98" t="s">
        <v>95</v>
      </c>
      <c r="E224" s="76">
        <f>E225</f>
        <v>6008.93</v>
      </c>
      <c r="F224" s="76">
        <f>F225</f>
        <v>6008.93</v>
      </c>
      <c r="G224" s="76">
        <f t="shared" si="15"/>
        <v>100</v>
      </c>
      <c r="I224" s="159"/>
    </row>
    <row r="225" spans="1:9" ht="24.95" customHeight="1" x14ac:dyDescent="0.25">
      <c r="A225" s="250">
        <v>42</v>
      </c>
      <c r="B225" s="251"/>
      <c r="C225" s="252"/>
      <c r="D225" s="165" t="s">
        <v>37</v>
      </c>
      <c r="E225" s="166">
        <v>6008.93</v>
      </c>
      <c r="F225" s="166">
        <f>F226+F227</f>
        <v>6008.93</v>
      </c>
      <c r="G225" s="167">
        <f t="shared" si="15"/>
        <v>100</v>
      </c>
    </row>
    <row r="226" spans="1:9" ht="24.95" customHeight="1" x14ac:dyDescent="0.25">
      <c r="A226" s="244">
        <v>4221</v>
      </c>
      <c r="B226" s="245"/>
      <c r="C226" s="246"/>
      <c r="D226" s="129" t="s">
        <v>194</v>
      </c>
      <c r="E226" s="56"/>
      <c r="F226" s="56">
        <f>2723.93</f>
        <v>2723.93</v>
      </c>
      <c r="G226" s="76"/>
    </row>
    <row r="227" spans="1:9" ht="24.95" customHeight="1" x14ac:dyDescent="0.25">
      <c r="A227" s="244">
        <v>4227</v>
      </c>
      <c r="B227" s="245"/>
      <c r="C227" s="246"/>
      <c r="D227" s="128" t="s">
        <v>195</v>
      </c>
      <c r="E227" s="56"/>
      <c r="F227" s="56">
        <v>3285</v>
      </c>
      <c r="G227" s="76"/>
    </row>
    <row r="228" spans="1:9" s="149" customFormat="1" ht="24.95" customHeight="1" x14ac:dyDescent="0.2">
      <c r="A228" s="253" t="s">
        <v>90</v>
      </c>
      <c r="B228" s="254"/>
      <c r="C228" s="255"/>
      <c r="D228" s="98" t="s">
        <v>53</v>
      </c>
      <c r="E228" s="148">
        <f>E229</f>
        <v>2127.23</v>
      </c>
      <c r="F228" s="148">
        <f>F229</f>
        <v>1767.83</v>
      </c>
      <c r="G228" s="76">
        <f t="shared" si="15"/>
        <v>83.104788856870186</v>
      </c>
      <c r="I228" s="160"/>
    </row>
    <row r="229" spans="1:9" ht="24.95" customHeight="1" x14ac:dyDescent="0.25">
      <c r="A229" s="250">
        <v>42</v>
      </c>
      <c r="B229" s="251"/>
      <c r="C229" s="252"/>
      <c r="D229" s="165" t="s">
        <v>37</v>
      </c>
      <c r="E229" s="166">
        <f>800+1327.23</f>
        <v>2127.23</v>
      </c>
      <c r="F229" s="166">
        <f>F230+F231+F232</f>
        <v>1767.83</v>
      </c>
      <c r="G229" s="167">
        <f t="shared" si="15"/>
        <v>83.104788856870186</v>
      </c>
    </row>
    <row r="230" spans="1:9" ht="24.95" customHeight="1" x14ac:dyDescent="0.25">
      <c r="A230" s="244">
        <v>4223</v>
      </c>
      <c r="B230" s="245"/>
      <c r="C230" s="246"/>
      <c r="D230" s="130" t="s">
        <v>196</v>
      </c>
      <c r="E230" s="56"/>
      <c r="F230" s="56">
        <f>800</f>
        <v>800</v>
      </c>
      <c r="G230" s="76"/>
    </row>
    <row r="231" spans="1:9" ht="24.95" customHeight="1" x14ac:dyDescent="0.25">
      <c r="A231" s="244">
        <v>4227</v>
      </c>
      <c r="B231" s="245"/>
      <c r="C231" s="246"/>
      <c r="D231" s="128" t="s">
        <v>195</v>
      </c>
      <c r="E231" s="56"/>
      <c r="F231" s="56">
        <f>898.53</f>
        <v>898.53</v>
      </c>
      <c r="G231" s="76"/>
    </row>
    <row r="232" spans="1:9" ht="24.95" customHeight="1" x14ac:dyDescent="0.25">
      <c r="A232" s="244">
        <v>4241</v>
      </c>
      <c r="B232" s="245"/>
      <c r="C232" s="246"/>
      <c r="D232" s="129" t="s">
        <v>198</v>
      </c>
      <c r="E232" s="56"/>
      <c r="F232" s="56">
        <f>69.3</f>
        <v>69.3</v>
      </c>
      <c r="G232" s="76"/>
    </row>
    <row r="233" spans="1:9" s="79" customFormat="1" ht="24.95" customHeight="1" x14ac:dyDescent="0.2">
      <c r="A233" s="253" t="s">
        <v>85</v>
      </c>
      <c r="B233" s="254"/>
      <c r="C233" s="255"/>
      <c r="D233" s="98" t="s">
        <v>51</v>
      </c>
      <c r="E233" s="76">
        <f>E234</f>
        <v>4703.2800000000007</v>
      </c>
      <c r="F233" s="76">
        <f>F234</f>
        <v>3737.61</v>
      </c>
      <c r="G233" s="76">
        <f t="shared" si="15"/>
        <v>79.468158391590535</v>
      </c>
      <c r="I233" s="159"/>
    </row>
    <row r="234" spans="1:9" ht="24.95" customHeight="1" x14ac:dyDescent="0.25">
      <c r="A234" s="250">
        <v>42</v>
      </c>
      <c r="B234" s="251"/>
      <c r="C234" s="252"/>
      <c r="D234" s="165" t="s">
        <v>37</v>
      </c>
      <c r="E234" s="166">
        <f>E235+E236</f>
        <v>4703.2800000000007</v>
      </c>
      <c r="F234" s="166">
        <f>F235+F236</f>
        <v>3737.61</v>
      </c>
      <c r="G234" s="167">
        <f t="shared" si="15"/>
        <v>79.468158391590535</v>
      </c>
    </row>
    <row r="235" spans="1:9" ht="24.95" customHeight="1" x14ac:dyDescent="0.25">
      <c r="A235" s="244">
        <v>4241</v>
      </c>
      <c r="B235" s="245"/>
      <c r="C235" s="246"/>
      <c r="D235" s="73" t="s">
        <v>213</v>
      </c>
      <c r="E235" s="74">
        <v>1431</v>
      </c>
      <c r="F235" s="74">
        <f>1202+229</f>
        <v>1431</v>
      </c>
      <c r="G235" s="76">
        <f t="shared" si="15"/>
        <v>100</v>
      </c>
    </row>
    <row r="236" spans="1:9" ht="24.95" customHeight="1" x14ac:dyDescent="0.25">
      <c r="A236" s="244">
        <v>4241</v>
      </c>
      <c r="B236" s="245"/>
      <c r="C236" s="246"/>
      <c r="D236" s="73" t="s">
        <v>214</v>
      </c>
      <c r="E236" s="74">
        <v>3272.28</v>
      </c>
      <c r="F236" s="74">
        <v>2306.61</v>
      </c>
      <c r="G236" s="76">
        <f t="shared" si="15"/>
        <v>70.489383549085034</v>
      </c>
    </row>
    <row r="237" spans="1:9" ht="24.95" customHeight="1" x14ac:dyDescent="0.25">
      <c r="A237" s="268" t="s">
        <v>73</v>
      </c>
      <c r="B237" s="269"/>
      <c r="C237" s="270"/>
      <c r="D237" s="70" t="s">
        <v>74</v>
      </c>
      <c r="E237" s="72">
        <f>E238+E246+E259+E264+E284+E317+E322</f>
        <v>388460.26</v>
      </c>
      <c r="F237" s="72">
        <f>F238+F246+F259+F264+F284+F317+F322</f>
        <v>341799.37</v>
      </c>
      <c r="G237" s="72"/>
    </row>
    <row r="238" spans="1:9" ht="39.75" customHeight="1" x14ac:dyDescent="0.25">
      <c r="A238" s="259" t="s">
        <v>75</v>
      </c>
      <c r="B238" s="260"/>
      <c r="C238" s="261"/>
      <c r="D238" s="64" t="s">
        <v>205</v>
      </c>
      <c r="E238" s="71">
        <f>E240</f>
        <v>2243.02</v>
      </c>
      <c r="F238" s="71">
        <f t="shared" ref="F238" si="19">F240</f>
        <v>1426.6999999999998</v>
      </c>
      <c r="G238" s="71"/>
    </row>
    <row r="239" spans="1:9" s="78" customFormat="1" ht="24.95" customHeight="1" x14ac:dyDescent="0.25">
      <c r="A239" s="253" t="s">
        <v>86</v>
      </c>
      <c r="B239" s="254"/>
      <c r="C239" s="255"/>
      <c r="D239" s="75" t="s">
        <v>17</v>
      </c>
      <c r="E239" s="76">
        <f>E240</f>
        <v>2243.02</v>
      </c>
      <c r="F239" s="76">
        <f t="shared" ref="F239" si="20">F240</f>
        <v>1426.6999999999998</v>
      </c>
      <c r="G239" s="76">
        <f t="shared" ref="G239" si="21">(F239/E239)*100</f>
        <v>63.606209485425893</v>
      </c>
      <c r="I239" s="158"/>
    </row>
    <row r="240" spans="1:9" ht="24.95" customHeight="1" x14ac:dyDescent="0.25">
      <c r="A240" s="256">
        <v>3</v>
      </c>
      <c r="B240" s="257"/>
      <c r="C240" s="258"/>
      <c r="D240" s="26" t="s">
        <v>19</v>
      </c>
      <c r="E240" s="56">
        <f>E241+E244</f>
        <v>2243.02</v>
      </c>
      <c r="F240" s="56">
        <f>F244+F241</f>
        <v>1426.6999999999998</v>
      </c>
      <c r="G240" s="56"/>
    </row>
    <row r="241" spans="1:9" ht="24.95" customHeight="1" x14ac:dyDescent="0.25">
      <c r="A241" s="262">
        <v>32</v>
      </c>
      <c r="B241" s="263"/>
      <c r="C241" s="264"/>
      <c r="D241" s="165" t="s">
        <v>29</v>
      </c>
      <c r="E241" s="166">
        <f>199.08+663.61+1327.23</f>
        <v>2189.92</v>
      </c>
      <c r="F241" s="171">
        <f>F243+F242</f>
        <v>1373.6</v>
      </c>
      <c r="G241" s="167">
        <f t="shared" ref="G241:G249" si="22">(F241/E241)*100</f>
        <v>62.723752465843496</v>
      </c>
    </row>
    <row r="242" spans="1:9" ht="24.95" customHeight="1" x14ac:dyDescent="0.25">
      <c r="A242" s="244">
        <v>3211</v>
      </c>
      <c r="B242" s="245"/>
      <c r="C242" s="246"/>
      <c r="D242" s="128" t="s">
        <v>161</v>
      </c>
      <c r="E242" s="94"/>
      <c r="F242" s="94">
        <v>1280</v>
      </c>
      <c r="G242" s="172"/>
    </row>
    <row r="243" spans="1:9" ht="24.95" customHeight="1" x14ac:dyDescent="0.25">
      <c r="A243" s="244">
        <v>3299</v>
      </c>
      <c r="B243" s="245"/>
      <c r="C243" s="246"/>
      <c r="D243" s="128" t="s">
        <v>178</v>
      </c>
      <c r="E243" s="56"/>
      <c r="F243" s="56">
        <v>93.6</v>
      </c>
      <c r="G243" s="76"/>
    </row>
    <row r="244" spans="1:9" ht="24.95" customHeight="1" x14ac:dyDescent="0.25">
      <c r="A244" s="262">
        <v>37</v>
      </c>
      <c r="B244" s="263"/>
      <c r="C244" s="264"/>
      <c r="D244" s="169" t="s">
        <v>44</v>
      </c>
      <c r="E244" s="166">
        <v>53.1</v>
      </c>
      <c r="F244" s="171">
        <f>F245</f>
        <v>53.1</v>
      </c>
      <c r="G244" s="167">
        <f t="shared" si="22"/>
        <v>100</v>
      </c>
    </row>
    <row r="245" spans="1:9" ht="24.95" customHeight="1" x14ac:dyDescent="0.25">
      <c r="A245" s="244">
        <v>3721</v>
      </c>
      <c r="B245" s="245"/>
      <c r="C245" s="246"/>
      <c r="D245" s="128" t="s">
        <v>191</v>
      </c>
      <c r="E245" s="56"/>
      <c r="F245" s="56">
        <v>53.1</v>
      </c>
      <c r="G245" s="76"/>
    </row>
    <row r="246" spans="1:9" ht="24.95" customHeight="1" x14ac:dyDescent="0.25">
      <c r="A246" s="259" t="s">
        <v>76</v>
      </c>
      <c r="B246" s="260"/>
      <c r="C246" s="261"/>
      <c r="D246" s="64" t="s">
        <v>77</v>
      </c>
      <c r="E246" s="71">
        <f>E248</f>
        <v>120800</v>
      </c>
      <c r="F246" s="71">
        <f t="shared" ref="F246" si="23">F248</f>
        <v>120777.68999999999</v>
      </c>
      <c r="G246" s="71"/>
    </row>
    <row r="247" spans="1:9" s="78" customFormat="1" ht="24.95" customHeight="1" x14ac:dyDescent="0.25">
      <c r="A247" s="253" t="s">
        <v>86</v>
      </c>
      <c r="B247" s="254"/>
      <c r="C247" s="255"/>
      <c r="D247" s="75" t="s">
        <v>17</v>
      </c>
      <c r="E247" s="76">
        <f>E248</f>
        <v>120800</v>
      </c>
      <c r="F247" s="76">
        <f>F248</f>
        <v>120777.68999999999</v>
      </c>
      <c r="G247" s="76">
        <f t="shared" si="22"/>
        <v>99.981531456953633</v>
      </c>
      <c r="I247" s="158"/>
    </row>
    <row r="248" spans="1:9" ht="24.95" customHeight="1" x14ac:dyDescent="0.25">
      <c r="A248" s="256">
        <v>3</v>
      </c>
      <c r="B248" s="257"/>
      <c r="C248" s="258"/>
      <c r="D248" s="36" t="s">
        <v>19</v>
      </c>
      <c r="E248" s="56">
        <f>E249+E256</f>
        <v>120800</v>
      </c>
      <c r="F248" s="56">
        <f>F249+F256</f>
        <v>120777.68999999999</v>
      </c>
      <c r="G248" s="56"/>
    </row>
    <row r="249" spans="1:9" ht="24.95" customHeight="1" x14ac:dyDescent="0.25">
      <c r="A249" s="250">
        <v>31</v>
      </c>
      <c r="B249" s="251"/>
      <c r="C249" s="252"/>
      <c r="D249" s="165" t="s">
        <v>20</v>
      </c>
      <c r="E249" s="166">
        <f>99410+3700+16410</f>
        <v>119520</v>
      </c>
      <c r="F249" s="166">
        <f>F250+F252+F254</f>
        <v>119502.04</v>
      </c>
      <c r="G249" s="167">
        <f t="shared" si="22"/>
        <v>99.984973226238282</v>
      </c>
    </row>
    <row r="250" spans="1:9" ht="24.95" customHeight="1" x14ac:dyDescent="0.25">
      <c r="A250" s="247">
        <v>311</v>
      </c>
      <c r="B250" s="248"/>
      <c r="C250" s="249"/>
      <c r="D250" s="128" t="s">
        <v>155</v>
      </c>
      <c r="E250" s="147"/>
      <c r="F250" s="147">
        <f>F251</f>
        <v>99401.73</v>
      </c>
      <c r="G250" s="57"/>
    </row>
    <row r="251" spans="1:9" ht="24.95" customHeight="1" x14ac:dyDescent="0.25">
      <c r="A251" s="244">
        <v>3111</v>
      </c>
      <c r="B251" s="245"/>
      <c r="C251" s="246"/>
      <c r="D251" s="128" t="s">
        <v>156</v>
      </c>
      <c r="E251" s="56"/>
      <c r="F251" s="56">
        <f>99401.73</f>
        <v>99401.73</v>
      </c>
      <c r="G251" s="57"/>
    </row>
    <row r="252" spans="1:9" ht="24.95" customHeight="1" x14ac:dyDescent="0.25">
      <c r="A252" s="247">
        <v>312</v>
      </c>
      <c r="B252" s="248"/>
      <c r="C252" s="249"/>
      <c r="D252" s="128" t="s">
        <v>157</v>
      </c>
      <c r="E252" s="147"/>
      <c r="F252" s="147">
        <f>F253</f>
        <v>3699.08</v>
      </c>
      <c r="G252" s="57"/>
    </row>
    <row r="253" spans="1:9" ht="24.95" customHeight="1" x14ac:dyDescent="0.25">
      <c r="A253" s="244">
        <v>3121</v>
      </c>
      <c r="B253" s="245"/>
      <c r="C253" s="246"/>
      <c r="D253" s="128" t="s">
        <v>157</v>
      </c>
      <c r="E253" s="56"/>
      <c r="F253" s="56">
        <f>1800+200+199.08+1500</f>
        <v>3699.08</v>
      </c>
      <c r="G253" s="57"/>
    </row>
    <row r="254" spans="1:9" ht="24.95" customHeight="1" x14ac:dyDescent="0.25">
      <c r="A254" s="247">
        <v>313</v>
      </c>
      <c r="B254" s="248"/>
      <c r="C254" s="249"/>
      <c r="D254" s="128" t="s">
        <v>158</v>
      </c>
      <c r="E254" s="147"/>
      <c r="F254" s="147">
        <f>F255</f>
        <v>16401.23</v>
      </c>
      <c r="G254" s="57"/>
    </row>
    <row r="255" spans="1:9" ht="24.95" customHeight="1" x14ac:dyDescent="0.25">
      <c r="A255" s="244">
        <v>3132</v>
      </c>
      <c r="B255" s="245"/>
      <c r="C255" s="246"/>
      <c r="D255" s="128" t="s">
        <v>159</v>
      </c>
      <c r="E255" s="56"/>
      <c r="F255" s="56">
        <f>16401.23</f>
        <v>16401.23</v>
      </c>
      <c r="G255" s="57"/>
    </row>
    <row r="256" spans="1:9" ht="24.95" customHeight="1" x14ac:dyDescent="0.25">
      <c r="A256" s="250">
        <v>32</v>
      </c>
      <c r="B256" s="251"/>
      <c r="C256" s="252"/>
      <c r="D256" s="165" t="s">
        <v>104</v>
      </c>
      <c r="E256" s="166">
        <v>1280</v>
      </c>
      <c r="F256" s="166">
        <f>F257</f>
        <v>1275.6500000000001</v>
      </c>
      <c r="G256" s="167">
        <f t="shared" ref="G256" si="24">(F256/E256)*100</f>
        <v>99.660156250000014</v>
      </c>
    </row>
    <row r="257" spans="1:9" ht="24.95" customHeight="1" x14ac:dyDescent="0.25">
      <c r="A257" s="247">
        <v>321</v>
      </c>
      <c r="B257" s="248"/>
      <c r="C257" s="249"/>
      <c r="D257" s="128" t="s">
        <v>160</v>
      </c>
      <c r="E257" s="56"/>
      <c r="F257" s="147">
        <f>F258</f>
        <v>1275.6500000000001</v>
      </c>
      <c r="G257" s="57"/>
    </row>
    <row r="258" spans="1:9" ht="24.95" customHeight="1" x14ac:dyDescent="0.25">
      <c r="A258" s="244">
        <v>3212</v>
      </c>
      <c r="B258" s="245"/>
      <c r="C258" s="246"/>
      <c r="D258" s="128" t="s">
        <v>162</v>
      </c>
      <c r="E258" s="56"/>
      <c r="F258" s="56">
        <f>1275.65</f>
        <v>1275.6500000000001</v>
      </c>
      <c r="G258" s="57"/>
    </row>
    <row r="259" spans="1:9" ht="30.6" customHeight="1" x14ac:dyDescent="0.25">
      <c r="A259" s="259" t="s">
        <v>78</v>
      </c>
      <c r="B259" s="260"/>
      <c r="C259" s="261"/>
      <c r="D259" s="64" t="s">
        <v>103</v>
      </c>
      <c r="E259" s="71">
        <f>E261</f>
        <v>58000</v>
      </c>
      <c r="F259" s="71">
        <f t="shared" ref="F259" si="25">F261</f>
        <v>51704.81</v>
      </c>
      <c r="G259" s="71"/>
    </row>
    <row r="260" spans="1:9" s="78" customFormat="1" ht="24.95" customHeight="1" x14ac:dyDescent="0.25">
      <c r="A260" s="253" t="s">
        <v>86</v>
      </c>
      <c r="B260" s="254"/>
      <c r="C260" s="255"/>
      <c r="D260" s="75" t="s">
        <v>17</v>
      </c>
      <c r="E260" s="76">
        <f>E261</f>
        <v>58000</v>
      </c>
      <c r="F260" s="76">
        <f t="shared" ref="F260:F261" si="26">F261</f>
        <v>51704.81</v>
      </c>
      <c r="G260" s="76">
        <f t="shared" ref="G260" si="27">(F260/E260)*100</f>
        <v>89.146224137931029</v>
      </c>
      <c r="I260" s="158"/>
    </row>
    <row r="261" spans="1:9" ht="24.95" customHeight="1" x14ac:dyDescent="0.25">
      <c r="A261" s="256">
        <v>3</v>
      </c>
      <c r="B261" s="257"/>
      <c r="C261" s="258"/>
      <c r="D261" s="36" t="s">
        <v>19</v>
      </c>
      <c r="E261" s="56">
        <f>E262</f>
        <v>58000</v>
      </c>
      <c r="F261" s="56">
        <f t="shared" si="26"/>
        <v>51704.81</v>
      </c>
      <c r="G261" s="56"/>
    </row>
    <row r="262" spans="1:9" ht="27.6" customHeight="1" x14ac:dyDescent="0.25">
      <c r="A262" s="262">
        <v>37</v>
      </c>
      <c r="B262" s="263"/>
      <c r="C262" s="264"/>
      <c r="D262" s="169" t="s">
        <v>44</v>
      </c>
      <c r="E262" s="166">
        <v>58000</v>
      </c>
      <c r="F262" s="171">
        <f>F263</f>
        <v>51704.81</v>
      </c>
      <c r="G262" s="167">
        <f t="shared" ref="G262:G267" si="28">(F262/E262)*100</f>
        <v>89.146224137931029</v>
      </c>
    </row>
    <row r="263" spans="1:9" ht="27.6" customHeight="1" x14ac:dyDescent="0.25">
      <c r="A263" s="244">
        <v>3722</v>
      </c>
      <c r="B263" s="245"/>
      <c r="C263" s="246"/>
      <c r="D263" s="128" t="s">
        <v>192</v>
      </c>
      <c r="E263" s="56"/>
      <c r="F263" s="56">
        <v>51704.81</v>
      </c>
      <c r="G263" s="76"/>
    </row>
    <row r="264" spans="1:9" ht="24.95" customHeight="1" x14ac:dyDescent="0.25">
      <c r="A264" s="259" t="s">
        <v>79</v>
      </c>
      <c r="B264" s="260"/>
      <c r="C264" s="261"/>
      <c r="D264" s="64" t="s">
        <v>243</v>
      </c>
      <c r="E264" s="96">
        <f>E265+E274+E279</f>
        <v>43807.16</v>
      </c>
      <c r="F264" s="71">
        <f>F265+F274+F279</f>
        <v>25356.27</v>
      </c>
      <c r="G264" s="71"/>
    </row>
    <row r="265" spans="1:9" ht="24.95" customHeight="1" x14ac:dyDescent="0.25">
      <c r="A265" s="253" t="s">
        <v>86</v>
      </c>
      <c r="B265" s="254"/>
      <c r="C265" s="255"/>
      <c r="D265" s="92" t="s">
        <v>17</v>
      </c>
      <c r="E265" s="95">
        <f>E266</f>
        <v>14400</v>
      </c>
      <c r="F265" s="146">
        <f>F266</f>
        <v>14272.36</v>
      </c>
      <c r="G265" s="76">
        <f t="shared" si="28"/>
        <v>99.113611111111112</v>
      </c>
    </row>
    <row r="266" spans="1:9" ht="24.95" customHeight="1" x14ac:dyDescent="0.25">
      <c r="A266" s="256">
        <v>3</v>
      </c>
      <c r="B266" s="257"/>
      <c r="C266" s="258"/>
      <c r="D266" s="91" t="s">
        <v>19</v>
      </c>
      <c r="E266" s="94">
        <f>E267+E271</f>
        <v>14400</v>
      </c>
      <c r="F266" s="94">
        <f>F267+F271</f>
        <v>14272.36</v>
      </c>
      <c r="G266" s="93"/>
    </row>
    <row r="267" spans="1:9" ht="24.95" customHeight="1" x14ac:dyDescent="0.25">
      <c r="A267" s="250">
        <v>32</v>
      </c>
      <c r="B267" s="251"/>
      <c r="C267" s="252"/>
      <c r="D267" s="165" t="s">
        <v>29</v>
      </c>
      <c r="E267" s="166">
        <v>7000</v>
      </c>
      <c r="F267" s="166">
        <f>F268</f>
        <v>6919.42</v>
      </c>
      <c r="G267" s="167">
        <f t="shared" si="28"/>
        <v>98.848857142857156</v>
      </c>
    </row>
    <row r="268" spans="1:9" ht="24.95" customHeight="1" x14ac:dyDescent="0.25">
      <c r="A268" s="247">
        <v>322</v>
      </c>
      <c r="B268" s="248"/>
      <c r="C268" s="249"/>
      <c r="D268" s="128" t="s">
        <v>165</v>
      </c>
      <c r="E268" s="94"/>
      <c r="F268" s="93">
        <f>F269+F270</f>
        <v>6919.42</v>
      </c>
      <c r="G268" s="93"/>
    </row>
    <row r="269" spans="1:9" ht="24.95" customHeight="1" x14ac:dyDescent="0.25">
      <c r="A269" s="244">
        <v>3222</v>
      </c>
      <c r="B269" s="245"/>
      <c r="C269" s="246"/>
      <c r="D269" s="128" t="s">
        <v>167</v>
      </c>
      <c r="E269" s="94"/>
      <c r="F269" s="94">
        <f>3650.91</f>
        <v>3650.91</v>
      </c>
      <c r="G269" s="93"/>
    </row>
    <row r="270" spans="1:9" ht="24.95" customHeight="1" x14ac:dyDescent="0.25">
      <c r="A270" s="244">
        <v>3225</v>
      </c>
      <c r="B270" s="245"/>
      <c r="C270" s="246"/>
      <c r="D270" s="128" t="s">
        <v>169</v>
      </c>
      <c r="E270" s="94"/>
      <c r="F270" s="94">
        <v>3268.51</v>
      </c>
      <c r="G270" s="93"/>
    </row>
    <row r="271" spans="1:9" ht="24.95" customHeight="1" x14ac:dyDescent="0.25">
      <c r="A271" s="250">
        <v>42</v>
      </c>
      <c r="B271" s="251"/>
      <c r="C271" s="252"/>
      <c r="D271" s="165" t="s">
        <v>37</v>
      </c>
      <c r="E271" s="166">
        <v>7400</v>
      </c>
      <c r="F271" s="166">
        <f>F272+F273</f>
        <v>7352.94</v>
      </c>
      <c r="G271" s="167">
        <f t="shared" ref="G271" si="29">(F271/E271)*100</f>
        <v>99.364054054054051</v>
      </c>
    </row>
    <row r="272" spans="1:9" ht="24.95" customHeight="1" x14ac:dyDescent="0.25">
      <c r="A272" s="244">
        <v>4221</v>
      </c>
      <c r="B272" s="245"/>
      <c r="C272" s="246"/>
      <c r="D272" s="129" t="s">
        <v>194</v>
      </c>
      <c r="E272" s="94"/>
      <c r="F272" s="94">
        <v>1723.75</v>
      </c>
      <c r="G272" s="93"/>
    </row>
    <row r="273" spans="1:9" ht="24.95" customHeight="1" x14ac:dyDescent="0.25">
      <c r="A273" s="244">
        <v>4227</v>
      </c>
      <c r="B273" s="245"/>
      <c r="C273" s="246"/>
      <c r="D273" s="128" t="s">
        <v>195</v>
      </c>
      <c r="E273" s="94"/>
      <c r="F273" s="94">
        <v>5629.19</v>
      </c>
      <c r="G273" s="93"/>
    </row>
    <row r="274" spans="1:9" s="78" customFormat="1" ht="24.95" customHeight="1" x14ac:dyDescent="0.25">
      <c r="A274" s="253" t="s">
        <v>85</v>
      </c>
      <c r="B274" s="254"/>
      <c r="C274" s="255"/>
      <c r="D274" s="75" t="s">
        <v>51</v>
      </c>
      <c r="E274" s="76">
        <f>E275</f>
        <v>4681.54</v>
      </c>
      <c r="F274" s="76">
        <f t="shared" ref="F274:F275" si="30">F275</f>
        <v>498.92</v>
      </c>
      <c r="G274" s="76">
        <f t="shared" ref="G274" si="31">(F274/E274)*100</f>
        <v>10.657176911870881</v>
      </c>
      <c r="I274" s="158"/>
    </row>
    <row r="275" spans="1:9" ht="24.95" customHeight="1" x14ac:dyDescent="0.25">
      <c r="A275" s="256">
        <v>3</v>
      </c>
      <c r="B275" s="257"/>
      <c r="C275" s="258"/>
      <c r="D275" s="36" t="s">
        <v>19</v>
      </c>
      <c r="E275" s="56">
        <f>E276</f>
        <v>4681.54</v>
      </c>
      <c r="F275" s="56">
        <f t="shared" si="30"/>
        <v>498.92</v>
      </c>
      <c r="G275" s="56"/>
    </row>
    <row r="276" spans="1:9" ht="24.95" customHeight="1" x14ac:dyDescent="0.25">
      <c r="A276" s="250">
        <v>32</v>
      </c>
      <c r="B276" s="251"/>
      <c r="C276" s="252"/>
      <c r="D276" s="165" t="s">
        <v>29</v>
      </c>
      <c r="E276" s="166">
        <f>1604.05+3077.49</f>
        <v>4681.54</v>
      </c>
      <c r="F276" s="166">
        <f>F277</f>
        <v>498.92</v>
      </c>
      <c r="G276" s="167">
        <f t="shared" ref="G276" si="32">(F276/E276)*100</f>
        <v>10.657176911870881</v>
      </c>
    </row>
    <row r="277" spans="1:9" ht="24.95" customHeight="1" x14ac:dyDescent="0.25">
      <c r="A277" s="247">
        <v>322</v>
      </c>
      <c r="B277" s="248"/>
      <c r="C277" s="249"/>
      <c r="D277" s="128" t="s">
        <v>165</v>
      </c>
      <c r="E277" s="56"/>
      <c r="F277" s="147">
        <f>F278</f>
        <v>498.92</v>
      </c>
      <c r="G277" s="57"/>
    </row>
    <row r="278" spans="1:9" ht="24.95" customHeight="1" x14ac:dyDescent="0.25">
      <c r="A278" s="244">
        <v>3222</v>
      </c>
      <c r="B278" s="245"/>
      <c r="C278" s="246"/>
      <c r="D278" s="128" t="s">
        <v>167</v>
      </c>
      <c r="E278" s="56"/>
      <c r="F278" s="56">
        <f>497.24+1.68</f>
        <v>498.92</v>
      </c>
      <c r="G278" s="57"/>
    </row>
    <row r="279" spans="1:9" s="78" customFormat="1" ht="24.95" customHeight="1" x14ac:dyDescent="0.25">
      <c r="A279" s="253" t="s">
        <v>102</v>
      </c>
      <c r="B279" s="254"/>
      <c r="C279" s="255"/>
      <c r="D279" s="75" t="s">
        <v>56</v>
      </c>
      <c r="E279" s="76">
        <f>E280</f>
        <v>24725.62</v>
      </c>
      <c r="F279" s="76">
        <f>F280</f>
        <v>10584.99</v>
      </c>
      <c r="G279" s="76">
        <f t="shared" ref="G279" si="33">(F279/E279)*100</f>
        <v>42.809806184839857</v>
      </c>
      <c r="I279" s="158"/>
    </row>
    <row r="280" spans="1:9" ht="24.95" customHeight="1" x14ac:dyDescent="0.25">
      <c r="A280" s="256">
        <v>3</v>
      </c>
      <c r="B280" s="257"/>
      <c r="C280" s="258"/>
      <c r="D280" s="65" t="s">
        <v>19</v>
      </c>
      <c r="E280" s="56">
        <f>E281</f>
        <v>24725.62</v>
      </c>
      <c r="F280" s="56">
        <f t="shared" ref="F280" si="34">F281</f>
        <v>10584.99</v>
      </c>
      <c r="G280" s="56"/>
    </row>
    <row r="281" spans="1:9" ht="24.95" customHeight="1" x14ac:dyDescent="0.25">
      <c r="A281" s="250">
        <v>32</v>
      </c>
      <c r="B281" s="251"/>
      <c r="C281" s="252"/>
      <c r="D281" s="165" t="s">
        <v>29</v>
      </c>
      <c r="E281" s="166">
        <f>7286.52+17439.1</f>
        <v>24725.62</v>
      </c>
      <c r="F281" s="166">
        <f>F282</f>
        <v>10584.99</v>
      </c>
      <c r="G281" s="167">
        <f t="shared" ref="G281" si="35">(F281/E281)*100</f>
        <v>42.809806184839857</v>
      </c>
    </row>
    <row r="282" spans="1:9" ht="24.95" customHeight="1" x14ac:dyDescent="0.25">
      <c r="A282" s="247">
        <v>322</v>
      </c>
      <c r="B282" s="248"/>
      <c r="C282" s="249"/>
      <c r="D282" s="128" t="s">
        <v>165</v>
      </c>
      <c r="E282" s="56"/>
      <c r="F282" s="147">
        <f>F283</f>
        <v>10584.99</v>
      </c>
      <c r="G282" s="57"/>
    </row>
    <row r="283" spans="1:9" ht="24.95" customHeight="1" x14ac:dyDescent="0.25">
      <c r="A283" s="244">
        <v>3222</v>
      </c>
      <c r="B283" s="245"/>
      <c r="C283" s="246"/>
      <c r="D283" s="128" t="s">
        <v>167</v>
      </c>
      <c r="E283" s="56"/>
      <c r="F283" s="56">
        <f>10575.46+9.53</f>
        <v>10584.99</v>
      </c>
      <c r="G283" s="57"/>
    </row>
    <row r="284" spans="1:9" ht="30" customHeight="1" x14ac:dyDescent="0.25">
      <c r="A284" s="259" t="s">
        <v>80</v>
      </c>
      <c r="B284" s="260"/>
      <c r="C284" s="261"/>
      <c r="D284" s="64" t="s">
        <v>101</v>
      </c>
      <c r="E284" s="71">
        <f>E285+E297+E307</f>
        <v>118329.87</v>
      </c>
      <c r="F284" s="71">
        <f>F285+F297+F307</f>
        <v>117935.14000000001</v>
      </c>
      <c r="G284" s="71"/>
    </row>
    <row r="285" spans="1:9" s="78" customFormat="1" ht="24.95" customHeight="1" x14ac:dyDescent="0.25">
      <c r="A285" s="253" t="s">
        <v>86</v>
      </c>
      <c r="B285" s="254"/>
      <c r="C285" s="255"/>
      <c r="D285" s="75" t="s">
        <v>17</v>
      </c>
      <c r="E285" s="76">
        <f>E286</f>
        <v>17948.310000000001</v>
      </c>
      <c r="F285" s="76">
        <f>F286</f>
        <v>17690.280000000002</v>
      </c>
      <c r="G285" s="76">
        <f t="shared" ref="G285" si="36">(F285/E285)*100</f>
        <v>98.562371610474756</v>
      </c>
      <c r="I285" s="158"/>
    </row>
    <row r="286" spans="1:9" ht="24.95" customHeight="1" x14ac:dyDescent="0.25">
      <c r="A286" s="256">
        <v>3</v>
      </c>
      <c r="B286" s="257"/>
      <c r="C286" s="258"/>
      <c r="D286" s="36" t="s">
        <v>19</v>
      </c>
      <c r="E286" s="56">
        <f>SUM(E287:E294)</f>
        <v>17948.310000000001</v>
      </c>
      <c r="F286" s="56">
        <f>F287+F294</f>
        <v>17690.280000000002</v>
      </c>
      <c r="G286" s="56"/>
    </row>
    <row r="287" spans="1:9" ht="24.95" customHeight="1" x14ac:dyDescent="0.25">
      <c r="A287" s="250">
        <v>31</v>
      </c>
      <c r="B287" s="251"/>
      <c r="C287" s="252"/>
      <c r="D287" s="165" t="s">
        <v>20</v>
      </c>
      <c r="E287" s="166">
        <v>17100</v>
      </c>
      <c r="F287" s="166">
        <f>F288+F290+F292</f>
        <v>17087.97</v>
      </c>
      <c r="G287" s="167">
        <f t="shared" ref="G287" si="37">(F287/E287)*100</f>
        <v>99.929649122807035</v>
      </c>
    </row>
    <row r="288" spans="1:9" ht="24.95" customHeight="1" x14ac:dyDescent="0.25">
      <c r="A288" s="247">
        <v>311</v>
      </c>
      <c r="B288" s="248"/>
      <c r="C288" s="249"/>
      <c r="D288" s="128" t="s">
        <v>155</v>
      </c>
      <c r="E288" s="56"/>
      <c r="F288" s="147">
        <f>F289</f>
        <v>6220.41</v>
      </c>
      <c r="G288" s="57"/>
    </row>
    <row r="289" spans="1:9" ht="24.95" customHeight="1" x14ac:dyDescent="0.25">
      <c r="A289" s="244">
        <v>3111</v>
      </c>
      <c r="B289" s="245"/>
      <c r="C289" s="246"/>
      <c r="D289" s="128" t="s">
        <v>156</v>
      </c>
      <c r="E289" s="56"/>
      <c r="F289" s="56">
        <v>6220.41</v>
      </c>
      <c r="G289" s="57"/>
    </row>
    <row r="290" spans="1:9" ht="24.95" customHeight="1" x14ac:dyDescent="0.25">
      <c r="A290" s="247">
        <v>312</v>
      </c>
      <c r="B290" s="248"/>
      <c r="C290" s="249"/>
      <c r="D290" s="128" t="s">
        <v>157</v>
      </c>
      <c r="E290" s="56"/>
      <c r="F290" s="147">
        <f>F291</f>
        <v>9800</v>
      </c>
      <c r="G290" s="57"/>
    </row>
    <row r="291" spans="1:9" ht="24.95" customHeight="1" x14ac:dyDescent="0.25">
      <c r="A291" s="244">
        <v>3121</v>
      </c>
      <c r="B291" s="245"/>
      <c r="C291" s="246"/>
      <c r="D291" s="128" t="s">
        <v>157</v>
      </c>
      <c r="E291" s="56"/>
      <c r="F291" s="56">
        <v>9800</v>
      </c>
      <c r="G291" s="57"/>
    </row>
    <row r="292" spans="1:9" ht="24.95" customHeight="1" x14ac:dyDescent="0.25">
      <c r="A292" s="247">
        <v>313</v>
      </c>
      <c r="B292" s="248"/>
      <c r="C292" s="249"/>
      <c r="D292" s="128" t="s">
        <v>158</v>
      </c>
      <c r="E292" s="56"/>
      <c r="F292" s="147">
        <f>F293</f>
        <v>1067.56</v>
      </c>
      <c r="G292" s="57"/>
    </row>
    <row r="293" spans="1:9" ht="24.95" customHeight="1" x14ac:dyDescent="0.25">
      <c r="A293" s="244">
        <v>3132</v>
      </c>
      <c r="B293" s="245"/>
      <c r="C293" s="246"/>
      <c r="D293" s="128" t="s">
        <v>159</v>
      </c>
      <c r="E293" s="56"/>
      <c r="F293" s="56">
        <v>1067.56</v>
      </c>
      <c r="G293" s="57"/>
    </row>
    <row r="294" spans="1:9" ht="24.95" customHeight="1" x14ac:dyDescent="0.25">
      <c r="A294" s="250">
        <v>32</v>
      </c>
      <c r="B294" s="251"/>
      <c r="C294" s="252"/>
      <c r="D294" s="165" t="s">
        <v>104</v>
      </c>
      <c r="E294" s="166">
        <v>848.31</v>
      </c>
      <c r="F294" s="166">
        <f>F295</f>
        <v>602.30999999999995</v>
      </c>
      <c r="G294" s="167">
        <f t="shared" ref="G294" si="38">(F294/E294)*100</f>
        <v>71.001167026205039</v>
      </c>
    </row>
    <row r="295" spans="1:9" ht="24.95" customHeight="1" x14ac:dyDescent="0.25">
      <c r="A295" s="247">
        <v>321</v>
      </c>
      <c r="B295" s="248"/>
      <c r="C295" s="249"/>
      <c r="D295" s="128" t="s">
        <v>160</v>
      </c>
      <c r="E295" s="56"/>
      <c r="F295" s="147">
        <f>F296</f>
        <v>602.30999999999995</v>
      </c>
      <c r="G295" s="57"/>
    </row>
    <row r="296" spans="1:9" ht="24.95" customHeight="1" x14ac:dyDescent="0.25">
      <c r="A296" s="244">
        <v>3211</v>
      </c>
      <c r="B296" s="245"/>
      <c r="C296" s="246"/>
      <c r="D296" s="128" t="s">
        <v>161</v>
      </c>
      <c r="E296" s="56"/>
      <c r="F296" s="56">
        <v>602.30999999999995</v>
      </c>
      <c r="G296" s="57"/>
    </row>
    <row r="297" spans="1:9" s="78" customFormat="1" ht="24.95" customHeight="1" x14ac:dyDescent="0.25">
      <c r="A297" s="253" t="s">
        <v>85</v>
      </c>
      <c r="B297" s="254"/>
      <c r="C297" s="255"/>
      <c r="D297" s="75" t="s">
        <v>51</v>
      </c>
      <c r="E297" s="76">
        <f>E298</f>
        <v>15100</v>
      </c>
      <c r="F297" s="76">
        <f>F298</f>
        <v>15036.73</v>
      </c>
      <c r="G297" s="76">
        <f t="shared" ref="G297" si="39">(F297/E297)*100</f>
        <v>99.580993377483438</v>
      </c>
      <c r="I297" s="158"/>
    </row>
    <row r="298" spans="1:9" ht="24.95" customHeight="1" x14ac:dyDescent="0.25">
      <c r="A298" s="256">
        <v>3</v>
      </c>
      <c r="B298" s="257"/>
      <c r="C298" s="258"/>
      <c r="D298" s="63" t="s">
        <v>19</v>
      </c>
      <c r="E298" s="56">
        <f>SUM(E299:E304)</f>
        <v>15100</v>
      </c>
      <c r="F298" s="56">
        <f>F299+F304</f>
        <v>15036.73</v>
      </c>
      <c r="G298" s="56"/>
    </row>
    <row r="299" spans="1:9" ht="24.95" customHeight="1" x14ac:dyDescent="0.25">
      <c r="A299" s="250">
        <v>31</v>
      </c>
      <c r="B299" s="251"/>
      <c r="C299" s="252"/>
      <c r="D299" s="165" t="s">
        <v>20</v>
      </c>
      <c r="E299" s="166">
        <v>13400</v>
      </c>
      <c r="F299" s="166">
        <f>F302+F300</f>
        <v>13354.529999999999</v>
      </c>
      <c r="G299" s="167">
        <f t="shared" ref="G299" si="40">(F299/E299)*100</f>
        <v>99.660671641791026</v>
      </c>
    </row>
    <row r="300" spans="1:9" ht="24.95" customHeight="1" x14ac:dyDescent="0.25">
      <c r="A300" s="247">
        <v>311</v>
      </c>
      <c r="B300" s="248"/>
      <c r="C300" s="249"/>
      <c r="D300" s="128" t="s">
        <v>155</v>
      </c>
      <c r="E300" s="56"/>
      <c r="F300" s="147">
        <f>F301</f>
        <v>11820.06</v>
      </c>
      <c r="G300" s="76"/>
    </row>
    <row r="301" spans="1:9" ht="24.95" customHeight="1" x14ac:dyDescent="0.25">
      <c r="A301" s="244">
        <v>3111</v>
      </c>
      <c r="B301" s="245"/>
      <c r="C301" s="246"/>
      <c r="D301" s="128" t="s">
        <v>156</v>
      </c>
      <c r="E301" s="56"/>
      <c r="F301" s="56">
        <v>11820.06</v>
      </c>
      <c r="G301" s="76"/>
    </row>
    <row r="302" spans="1:9" ht="24.95" customHeight="1" x14ac:dyDescent="0.25">
      <c r="A302" s="247">
        <v>313</v>
      </c>
      <c r="B302" s="248"/>
      <c r="C302" s="249"/>
      <c r="D302" s="128" t="s">
        <v>158</v>
      </c>
      <c r="E302" s="56"/>
      <c r="F302" s="147">
        <f>F303</f>
        <v>1534.47</v>
      </c>
      <c r="G302" s="57"/>
    </row>
    <row r="303" spans="1:9" ht="24.95" customHeight="1" x14ac:dyDescent="0.25">
      <c r="A303" s="244">
        <v>3132</v>
      </c>
      <c r="B303" s="245"/>
      <c r="C303" s="246"/>
      <c r="D303" s="128" t="s">
        <v>159</v>
      </c>
      <c r="E303" s="56"/>
      <c r="F303" s="56">
        <v>1534.47</v>
      </c>
      <c r="G303" s="57"/>
    </row>
    <row r="304" spans="1:9" ht="24.95" customHeight="1" x14ac:dyDescent="0.25">
      <c r="A304" s="250">
        <v>32</v>
      </c>
      <c r="B304" s="251"/>
      <c r="C304" s="252"/>
      <c r="D304" s="165" t="s">
        <v>104</v>
      </c>
      <c r="E304" s="166">
        <v>1700</v>
      </c>
      <c r="F304" s="166">
        <f>F305</f>
        <v>1682.2</v>
      </c>
      <c r="G304" s="167">
        <f t="shared" ref="G304" si="41">(F304/E304)*100</f>
        <v>98.952941176470588</v>
      </c>
    </row>
    <row r="305" spans="1:9" ht="24.95" customHeight="1" x14ac:dyDescent="0.25">
      <c r="A305" s="247">
        <v>321</v>
      </c>
      <c r="B305" s="248"/>
      <c r="C305" s="249"/>
      <c r="D305" s="128" t="s">
        <v>160</v>
      </c>
      <c r="E305" s="56"/>
      <c r="F305" s="147">
        <f>F306</f>
        <v>1682.2</v>
      </c>
      <c r="G305" s="57"/>
    </row>
    <row r="306" spans="1:9" ht="24.95" customHeight="1" x14ac:dyDescent="0.25">
      <c r="A306" s="244">
        <v>3212</v>
      </c>
      <c r="B306" s="245"/>
      <c r="C306" s="246"/>
      <c r="D306" s="128" t="s">
        <v>162</v>
      </c>
      <c r="E306" s="56"/>
      <c r="F306" s="56">
        <v>1682.2</v>
      </c>
      <c r="G306" s="57"/>
    </row>
    <row r="307" spans="1:9" s="78" customFormat="1" ht="24.95" customHeight="1" x14ac:dyDescent="0.25">
      <c r="A307" s="253" t="s">
        <v>102</v>
      </c>
      <c r="B307" s="254"/>
      <c r="C307" s="255"/>
      <c r="D307" s="75" t="s">
        <v>56</v>
      </c>
      <c r="E307" s="76">
        <f>E308</f>
        <v>85281.56</v>
      </c>
      <c r="F307" s="76">
        <f>F308</f>
        <v>85208.13</v>
      </c>
      <c r="G307" s="76">
        <f t="shared" ref="G307" si="42">(F307/E307)*100</f>
        <v>99.91389697843239</v>
      </c>
      <c r="I307" s="158"/>
    </row>
    <row r="308" spans="1:9" ht="24.95" customHeight="1" x14ac:dyDescent="0.25">
      <c r="A308" s="256">
        <v>3</v>
      </c>
      <c r="B308" s="257"/>
      <c r="C308" s="258"/>
      <c r="D308" s="63" t="s">
        <v>19</v>
      </c>
      <c r="E308" s="56">
        <f>SUM(E309:E314)</f>
        <v>85281.56</v>
      </c>
      <c r="F308" s="56">
        <f>F309+F314</f>
        <v>85208.13</v>
      </c>
      <c r="G308" s="56"/>
    </row>
    <row r="309" spans="1:9" ht="24.95" customHeight="1" x14ac:dyDescent="0.25">
      <c r="A309" s="250">
        <v>31</v>
      </c>
      <c r="B309" s="251"/>
      <c r="C309" s="252"/>
      <c r="D309" s="165" t="s">
        <v>20</v>
      </c>
      <c r="E309" s="166">
        <v>79000</v>
      </c>
      <c r="F309" s="166">
        <f>F310+F312</f>
        <v>78926.570000000007</v>
      </c>
      <c r="G309" s="167">
        <f t="shared" ref="G309" si="43">(F309/E309)*100</f>
        <v>99.907050632911393</v>
      </c>
    </row>
    <row r="310" spans="1:9" ht="24.95" customHeight="1" x14ac:dyDescent="0.25">
      <c r="A310" s="247">
        <v>311</v>
      </c>
      <c r="B310" s="248"/>
      <c r="C310" s="249"/>
      <c r="D310" s="128" t="s">
        <v>155</v>
      </c>
      <c r="E310" s="56"/>
      <c r="F310" s="147">
        <f>F311</f>
        <v>67426.570000000007</v>
      </c>
      <c r="G310" s="57"/>
    </row>
    <row r="311" spans="1:9" ht="24.95" customHeight="1" x14ac:dyDescent="0.25">
      <c r="A311" s="244">
        <v>3111</v>
      </c>
      <c r="B311" s="245"/>
      <c r="C311" s="246"/>
      <c r="D311" s="128" t="s">
        <v>156</v>
      </c>
      <c r="E311" s="56"/>
      <c r="F311" s="56">
        <v>67426.570000000007</v>
      </c>
      <c r="G311" s="57"/>
    </row>
    <row r="312" spans="1:9" ht="24.95" customHeight="1" x14ac:dyDescent="0.25">
      <c r="A312" s="247">
        <v>313</v>
      </c>
      <c r="B312" s="248"/>
      <c r="C312" s="249"/>
      <c r="D312" s="128" t="s">
        <v>158</v>
      </c>
      <c r="E312" s="56"/>
      <c r="F312" s="147">
        <f>F313</f>
        <v>11500</v>
      </c>
      <c r="G312" s="57"/>
    </row>
    <row r="313" spans="1:9" ht="24.95" customHeight="1" x14ac:dyDescent="0.25">
      <c r="A313" s="244">
        <v>3132</v>
      </c>
      <c r="B313" s="245"/>
      <c r="C313" s="246"/>
      <c r="D313" s="128" t="s">
        <v>159</v>
      </c>
      <c r="E313" s="56"/>
      <c r="F313" s="56">
        <v>11500</v>
      </c>
      <c r="G313" s="57"/>
    </row>
    <row r="314" spans="1:9" ht="24.95" customHeight="1" x14ac:dyDescent="0.25">
      <c r="A314" s="250">
        <v>32</v>
      </c>
      <c r="B314" s="251"/>
      <c r="C314" s="252"/>
      <c r="D314" s="165" t="s">
        <v>104</v>
      </c>
      <c r="E314" s="166">
        <v>6281.56</v>
      </c>
      <c r="F314" s="166">
        <f>F315</f>
        <v>6281.56</v>
      </c>
      <c r="G314" s="167">
        <f t="shared" ref="G314:G325" si="44">(F314/E314)*100</f>
        <v>100</v>
      </c>
    </row>
    <row r="315" spans="1:9" ht="24.95" customHeight="1" x14ac:dyDescent="0.25">
      <c r="A315" s="247">
        <v>321</v>
      </c>
      <c r="B315" s="248"/>
      <c r="C315" s="249"/>
      <c r="D315" s="128" t="s">
        <v>160</v>
      </c>
      <c r="E315" s="56"/>
      <c r="F315" s="147">
        <f>F316</f>
        <v>6281.56</v>
      </c>
      <c r="G315" s="76"/>
    </row>
    <row r="316" spans="1:9" ht="24.95" customHeight="1" x14ac:dyDescent="0.25">
      <c r="A316" s="244">
        <v>3212</v>
      </c>
      <c r="B316" s="245"/>
      <c r="C316" s="246"/>
      <c r="D316" s="128" t="s">
        <v>162</v>
      </c>
      <c r="E316" s="56"/>
      <c r="F316" s="56">
        <v>6281.56</v>
      </c>
      <c r="G316" s="76"/>
    </row>
    <row r="317" spans="1:9" ht="24.95" customHeight="1" x14ac:dyDescent="0.25">
      <c r="A317" s="259" t="s">
        <v>81</v>
      </c>
      <c r="B317" s="260"/>
      <c r="C317" s="261"/>
      <c r="D317" s="64" t="s">
        <v>82</v>
      </c>
      <c r="E317" s="71">
        <f>E318</f>
        <v>20178.43</v>
      </c>
      <c r="F317" s="71">
        <f t="shared" ref="F317:F318" si="45">F318</f>
        <v>0</v>
      </c>
      <c r="G317" s="71"/>
    </row>
    <row r="318" spans="1:9" s="78" customFormat="1" ht="24.95" customHeight="1" x14ac:dyDescent="0.25">
      <c r="A318" s="253" t="s">
        <v>86</v>
      </c>
      <c r="B318" s="254"/>
      <c r="C318" s="255"/>
      <c r="D318" s="75" t="s">
        <v>17</v>
      </c>
      <c r="E318" s="76">
        <f>E319</f>
        <v>20178.43</v>
      </c>
      <c r="F318" s="76">
        <f t="shared" si="45"/>
        <v>0</v>
      </c>
      <c r="G318" s="76">
        <f t="shared" si="44"/>
        <v>0</v>
      </c>
      <c r="I318" s="158"/>
    </row>
    <row r="319" spans="1:9" ht="24.95" customHeight="1" x14ac:dyDescent="0.25">
      <c r="A319" s="256">
        <v>3</v>
      </c>
      <c r="B319" s="257"/>
      <c r="C319" s="258"/>
      <c r="D319" s="36" t="s">
        <v>19</v>
      </c>
      <c r="E319" s="56">
        <f>E320+E321</f>
        <v>20178.43</v>
      </c>
      <c r="F319" s="56">
        <f t="shared" ref="F319" si="46">F320+F321</f>
        <v>0</v>
      </c>
      <c r="G319" s="56"/>
    </row>
    <row r="320" spans="1:9" ht="24.95" customHeight="1" x14ac:dyDescent="0.25">
      <c r="A320" s="250">
        <v>31</v>
      </c>
      <c r="B320" s="251"/>
      <c r="C320" s="252"/>
      <c r="D320" s="165" t="s">
        <v>20</v>
      </c>
      <c r="E320" s="166">
        <f>16810.16+331.81+2773.67</f>
        <v>19915.64</v>
      </c>
      <c r="F320" s="166"/>
      <c r="G320" s="167">
        <f t="shared" si="44"/>
        <v>0</v>
      </c>
    </row>
    <row r="321" spans="1:9" ht="24.95" customHeight="1" x14ac:dyDescent="0.25">
      <c r="A321" s="250">
        <v>32</v>
      </c>
      <c r="B321" s="251"/>
      <c r="C321" s="252"/>
      <c r="D321" s="165" t="s">
        <v>104</v>
      </c>
      <c r="E321" s="166">
        <f>262.79</f>
        <v>262.79000000000002</v>
      </c>
      <c r="F321" s="166"/>
      <c r="G321" s="167">
        <f t="shared" si="44"/>
        <v>0</v>
      </c>
    </row>
    <row r="322" spans="1:9" ht="24.95" customHeight="1" x14ac:dyDescent="0.25">
      <c r="A322" s="259" t="s">
        <v>83</v>
      </c>
      <c r="B322" s="260"/>
      <c r="C322" s="261"/>
      <c r="D322" s="64" t="s">
        <v>84</v>
      </c>
      <c r="E322" s="71">
        <f>E324</f>
        <v>25101.78</v>
      </c>
      <c r="F322" s="71">
        <f>F324</f>
        <v>24598.76</v>
      </c>
      <c r="G322" s="71"/>
    </row>
    <row r="323" spans="1:9" s="78" customFormat="1" ht="24.95" customHeight="1" x14ac:dyDescent="0.25">
      <c r="A323" s="253" t="s">
        <v>86</v>
      </c>
      <c r="B323" s="254"/>
      <c r="C323" s="255"/>
      <c r="D323" s="75" t="s">
        <v>17</v>
      </c>
      <c r="E323" s="76">
        <f>E324</f>
        <v>25101.78</v>
      </c>
      <c r="F323" s="76">
        <f>F324</f>
        <v>24598.76</v>
      </c>
      <c r="G323" s="76">
        <f t="shared" si="44"/>
        <v>97.996078365757327</v>
      </c>
      <c r="I323" s="158"/>
    </row>
    <row r="324" spans="1:9" ht="24.95" customHeight="1" x14ac:dyDescent="0.25">
      <c r="A324" s="256">
        <v>3</v>
      </c>
      <c r="B324" s="257"/>
      <c r="C324" s="258"/>
      <c r="D324" s="36" t="s">
        <v>19</v>
      </c>
      <c r="E324" s="56">
        <f>E325+E332</f>
        <v>25101.78</v>
      </c>
      <c r="F324" s="56">
        <f>F325+F332</f>
        <v>24598.76</v>
      </c>
      <c r="G324" s="56"/>
    </row>
    <row r="325" spans="1:9" ht="24.95" customHeight="1" x14ac:dyDescent="0.25">
      <c r="A325" s="250">
        <v>31</v>
      </c>
      <c r="B325" s="251"/>
      <c r="C325" s="252"/>
      <c r="D325" s="165" t="s">
        <v>20</v>
      </c>
      <c r="E325" s="166">
        <f>22250+1061.78+1360</f>
        <v>24671.78</v>
      </c>
      <c r="F325" s="166">
        <f>F326+F330+F328</f>
        <v>24176.149999999998</v>
      </c>
      <c r="G325" s="167">
        <f t="shared" si="44"/>
        <v>97.991105627563144</v>
      </c>
    </row>
    <row r="326" spans="1:9" ht="24.95" customHeight="1" x14ac:dyDescent="0.25">
      <c r="A326" s="247">
        <v>311</v>
      </c>
      <c r="B326" s="248"/>
      <c r="C326" s="249"/>
      <c r="D326" s="128" t="s">
        <v>155</v>
      </c>
      <c r="E326" s="56"/>
      <c r="F326" s="147">
        <f>F327</f>
        <v>22225.439999999999</v>
      </c>
      <c r="G326" s="57"/>
    </row>
    <row r="327" spans="1:9" ht="24.95" customHeight="1" x14ac:dyDescent="0.25">
      <c r="A327" s="244">
        <v>3111</v>
      </c>
      <c r="B327" s="245"/>
      <c r="C327" s="246"/>
      <c r="D327" s="128" t="s">
        <v>156</v>
      </c>
      <c r="E327" s="56"/>
      <c r="F327" s="56">
        <f>22225.44</f>
        <v>22225.439999999999</v>
      </c>
      <c r="G327" s="57"/>
    </row>
    <row r="328" spans="1:9" ht="24.95" customHeight="1" x14ac:dyDescent="0.25">
      <c r="A328" s="247">
        <v>312</v>
      </c>
      <c r="B328" s="248"/>
      <c r="C328" s="249"/>
      <c r="D328" s="128" t="s">
        <v>157</v>
      </c>
      <c r="E328" s="56"/>
      <c r="F328" s="147">
        <f>F329</f>
        <v>600</v>
      </c>
      <c r="G328" s="57"/>
    </row>
    <row r="329" spans="1:9" ht="24.95" customHeight="1" x14ac:dyDescent="0.25">
      <c r="A329" s="244">
        <v>3121</v>
      </c>
      <c r="B329" s="245"/>
      <c r="C329" s="246"/>
      <c r="D329" s="128" t="s">
        <v>157</v>
      </c>
      <c r="E329" s="56"/>
      <c r="F329" s="56">
        <f>300+300</f>
        <v>600</v>
      </c>
      <c r="G329" s="57"/>
    </row>
    <row r="330" spans="1:9" ht="24.95" customHeight="1" x14ac:dyDescent="0.25">
      <c r="A330" s="247">
        <v>313</v>
      </c>
      <c r="B330" s="248"/>
      <c r="C330" s="249"/>
      <c r="D330" s="128" t="s">
        <v>158</v>
      </c>
      <c r="E330" s="56"/>
      <c r="F330" s="147">
        <f>F331</f>
        <v>1350.71</v>
      </c>
      <c r="G330" s="57"/>
    </row>
    <row r="331" spans="1:9" ht="24.95" customHeight="1" x14ac:dyDescent="0.25">
      <c r="A331" s="244">
        <v>3132</v>
      </c>
      <c r="B331" s="245"/>
      <c r="C331" s="246"/>
      <c r="D331" s="128" t="s">
        <v>159</v>
      </c>
      <c r="E331" s="56"/>
      <c r="F331" s="56">
        <f>1350.71</f>
        <v>1350.71</v>
      </c>
      <c r="G331" s="57"/>
    </row>
    <row r="332" spans="1:9" ht="24.95" customHeight="1" x14ac:dyDescent="0.25">
      <c r="A332" s="250">
        <v>32</v>
      </c>
      <c r="B332" s="251"/>
      <c r="C332" s="252"/>
      <c r="D332" s="165" t="s">
        <v>104</v>
      </c>
      <c r="E332" s="166">
        <v>430</v>
      </c>
      <c r="F332" s="166">
        <f>F333</f>
        <v>422.61</v>
      </c>
      <c r="G332" s="167">
        <f t="shared" ref="G332" si="47">(F332/E332)*100</f>
        <v>98.281395348837208</v>
      </c>
    </row>
    <row r="333" spans="1:9" ht="24.95" customHeight="1" x14ac:dyDescent="0.25">
      <c r="A333" s="247">
        <v>321</v>
      </c>
      <c r="B333" s="248"/>
      <c r="C333" s="249"/>
      <c r="D333" s="128" t="s">
        <v>160</v>
      </c>
      <c r="E333" s="56"/>
      <c r="F333" s="147">
        <f>F334</f>
        <v>422.61</v>
      </c>
      <c r="G333" s="57"/>
    </row>
    <row r="334" spans="1:9" ht="24.95" customHeight="1" x14ac:dyDescent="0.25">
      <c r="A334" s="244">
        <v>3212</v>
      </c>
      <c r="B334" s="245"/>
      <c r="C334" s="246"/>
      <c r="D334" s="128" t="s">
        <v>162</v>
      </c>
      <c r="E334" s="56"/>
      <c r="F334" s="56">
        <f>422.61</f>
        <v>422.61</v>
      </c>
      <c r="G334" s="57"/>
    </row>
  </sheetData>
  <mergeCells count="327">
    <mergeCell ref="A243:C243"/>
    <mergeCell ref="A260:C260"/>
    <mergeCell ref="A274:C274"/>
    <mergeCell ref="A273:C273"/>
    <mergeCell ref="A270:C270"/>
    <mergeCell ref="A155:C155"/>
    <mergeCell ref="A156:C156"/>
    <mergeCell ref="A211:C211"/>
    <mergeCell ref="A212:C212"/>
    <mergeCell ref="A213:C213"/>
    <mergeCell ref="A200:C200"/>
    <mergeCell ref="A201:C201"/>
    <mergeCell ref="A183:C183"/>
    <mergeCell ref="A184:C184"/>
    <mergeCell ref="A185:C185"/>
    <mergeCell ref="A186:C186"/>
    <mergeCell ref="A187:C187"/>
    <mergeCell ref="A264:C264"/>
    <mergeCell ref="A204:C204"/>
    <mergeCell ref="A165:C165"/>
    <mergeCell ref="A168:C168"/>
    <mergeCell ref="A191:C191"/>
    <mergeCell ref="A217:C217"/>
    <mergeCell ref="A218:C218"/>
    <mergeCell ref="A245:C245"/>
    <mergeCell ref="A122:C122"/>
    <mergeCell ref="A1:J1"/>
    <mergeCell ref="A6:D6"/>
    <mergeCell ref="A286:C286"/>
    <mergeCell ref="A294:C294"/>
    <mergeCell ref="A276:C276"/>
    <mergeCell ref="A279:C279"/>
    <mergeCell ref="A280:C280"/>
    <mergeCell ref="A7:C7"/>
    <mergeCell ref="A8:C8"/>
    <mergeCell ref="A3:G3"/>
    <mergeCell ref="A5:C5"/>
    <mergeCell ref="A38:C38"/>
    <mergeCell ref="A287:C287"/>
    <mergeCell ref="A247:C247"/>
    <mergeCell ref="A248:C248"/>
    <mergeCell ref="A237:C237"/>
    <mergeCell ref="A238:C238"/>
    <mergeCell ref="A239:C239"/>
    <mergeCell ref="A240:C240"/>
    <mergeCell ref="A246:C246"/>
    <mergeCell ref="A244:C244"/>
    <mergeCell ref="A256:C256"/>
    <mergeCell ref="A259:C259"/>
    <mergeCell ref="A129:C129"/>
    <mergeCell ref="A164:C164"/>
    <mergeCell ref="A9:C9"/>
    <mergeCell ref="A10:C10"/>
    <mergeCell ref="A130:C130"/>
    <mergeCell ref="A11:C11"/>
    <mergeCell ref="A56:C56"/>
    <mergeCell ref="A44:C44"/>
    <mergeCell ref="A45:C45"/>
    <mergeCell ref="A51:C51"/>
    <mergeCell ref="A52:C52"/>
    <mergeCell ref="A42:C42"/>
    <mergeCell ref="A43:C43"/>
    <mergeCell ref="A49:C49"/>
    <mergeCell ref="A50:C50"/>
    <mergeCell ref="A55:C55"/>
    <mergeCell ref="A35:C35"/>
    <mergeCell ref="A36:C36"/>
    <mergeCell ref="A37:C37"/>
    <mergeCell ref="A99:C99"/>
    <mergeCell ref="A91:C91"/>
    <mergeCell ref="A92:C92"/>
    <mergeCell ref="A93:C93"/>
    <mergeCell ref="A94:C94"/>
    <mergeCell ref="A317:C317"/>
    <mergeCell ref="A318:C318"/>
    <mergeCell ref="A106:C106"/>
    <mergeCell ref="A110:C110"/>
    <mergeCell ref="A152:C152"/>
    <mergeCell ref="A153:C153"/>
    <mergeCell ref="A111:C111"/>
    <mergeCell ref="A112:C112"/>
    <mergeCell ref="A114:C114"/>
    <mergeCell ref="A202:C202"/>
    <mergeCell ref="A109:C109"/>
    <mergeCell ref="A150:C150"/>
    <mergeCell ref="A125:C125"/>
    <mergeCell ref="A126:C126"/>
    <mergeCell ref="A127:C127"/>
    <mergeCell ref="A133:C133"/>
    <mergeCell ref="A134:C134"/>
    <mergeCell ref="A135:C135"/>
    <mergeCell ref="A136:C136"/>
    <mergeCell ref="A140:C140"/>
    <mergeCell ref="A137:C137"/>
    <mergeCell ref="A132:C132"/>
    <mergeCell ref="A120:C120"/>
    <mergeCell ref="A128:C128"/>
    <mergeCell ref="A291:C291"/>
    <mergeCell ref="A263:C263"/>
    <mergeCell ref="A331:C331"/>
    <mergeCell ref="A87:C87"/>
    <mergeCell ref="A95:C95"/>
    <mergeCell ref="A96:C96"/>
    <mergeCell ref="A101:C101"/>
    <mergeCell ref="A103:C103"/>
    <mergeCell ref="A105:C105"/>
    <mergeCell ref="A117:C117"/>
    <mergeCell ref="A118:C118"/>
    <mergeCell ref="A119:C119"/>
    <mergeCell ref="A88:C88"/>
    <mergeCell ref="A89:C89"/>
    <mergeCell ref="A107:C107"/>
    <mergeCell ref="A108:C108"/>
    <mergeCell ref="A115:C115"/>
    <mergeCell ref="A116:C116"/>
    <mergeCell ref="A121:C121"/>
    <mergeCell ref="A123:C123"/>
    <mergeCell ref="A124:C124"/>
    <mergeCell ref="A131:C131"/>
    <mergeCell ref="A320:C320"/>
    <mergeCell ref="A325:C325"/>
    <mergeCell ref="A208:C208"/>
    <mergeCell ref="A209:C209"/>
    <mergeCell ref="A319:C319"/>
    <mergeCell ref="A321:C321"/>
    <mergeCell ref="A307:C307"/>
    <mergeCell ref="A308:C308"/>
    <mergeCell ref="A309:C309"/>
    <mergeCell ref="A314:C314"/>
    <mergeCell ref="A233:C233"/>
    <mergeCell ref="A220:C220"/>
    <mergeCell ref="A221:C221"/>
    <mergeCell ref="A261:C261"/>
    <mergeCell ref="A262:C262"/>
    <mergeCell ref="A304:C304"/>
    <mergeCell ref="A275:C275"/>
    <mergeCell ref="A281:C281"/>
    <mergeCell ref="A284:C284"/>
    <mergeCell ref="A285:C285"/>
    <mergeCell ref="A299:C299"/>
    <mergeCell ref="A297:C297"/>
    <mergeCell ref="A298:C298"/>
    <mergeCell ref="A288:C288"/>
    <mergeCell ref="A289:C289"/>
    <mergeCell ref="A290:C290"/>
    <mergeCell ref="A196:C196"/>
    <mergeCell ref="A197:C197"/>
    <mergeCell ref="A271:C271"/>
    <mergeCell ref="A272:C272"/>
    <mergeCell ref="A180:C180"/>
    <mergeCell ref="A181:C181"/>
    <mergeCell ref="A148:C148"/>
    <mergeCell ref="A159:C159"/>
    <mergeCell ref="A161:C161"/>
    <mergeCell ref="A169:C169"/>
    <mergeCell ref="A170:C170"/>
    <mergeCell ref="A171:C171"/>
    <mergeCell ref="A267:C267"/>
    <mergeCell ref="A241:C241"/>
    <mergeCell ref="A228:C228"/>
    <mergeCell ref="A229:C229"/>
    <mergeCell ref="A265:C265"/>
    <mergeCell ref="A214:C214"/>
    <mergeCell ref="A199:C199"/>
    <mergeCell ref="A203:C203"/>
    <mergeCell ref="A230:C230"/>
    <mergeCell ref="A219:C219"/>
    <mergeCell ref="A234:C234"/>
    <mergeCell ref="A206:C206"/>
    <mergeCell ref="A138:C138"/>
    <mergeCell ref="A139:C139"/>
    <mergeCell ref="A142:C142"/>
    <mergeCell ref="A143:C143"/>
    <mergeCell ref="A144:C144"/>
    <mergeCell ref="A145:C145"/>
    <mergeCell ref="A146:C146"/>
    <mergeCell ref="A162:C162"/>
    <mergeCell ref="A163:C163"/>
    <mergeCell ref="A154:C154"/>
    <mergeCell ref="A157:C157"/>
    <mergeCell ref="A158:C158"/>
    <mergeCell ref="A151:C151"/>
    <mergeCell ref="A160:C160"/>
    <mergeCell ref="A249:C249"/>
    <mergeCell ref="A215:C215"/>
    <mergeCell ref="A207:C207"/>
    <mergeCell ref="A216:C216"/>
    <mergeCell ref="A236:C236"/>
    <mergeCell ref="A327:C327"/>
    <mergeCell ref="A330:C330"/>
    <mergeCell ref="A310:C310"/>
    <mergeCell ref="A311:C311"/>
    <mergeCell ref="A302:C302"/>
    <mergeCell ref="A303:C303"/>
    <mergeCell ref="A292:C292"/>
    <mergeCell ref="A293:C293"/>
    <mergeCell ref="A295:C295"/>
    <mergeCell ref="A296:C296"/>
    <mergeCell ref="A305:C305"/>
    <mergeCell ref="A306:C306"/>
    <mergeCell ref="A322:C322"/>
    <mergeCell ref="A323:C323"/>
    <mergeCell ref="A324:C324"/>
    <mergeCell ref="A222:C222"/>
    <mergeCell ref="A226:C226"/>
    <mergeCell ref="A227:C227"/>
    <mergeCell ref="A266:C266"/>
    <mergeCell ref="A334:C334"/>
    <mergeCell ref="A333:C333"/>
    <mergeCell ref="A250:C250"/>
    <mergeCell ref="A251:C251"/>
    <mergeCell ref="A254:C254"/>
    <mergeCell ref="A255:C255"/>
    <mergeCell ref="A252:C252"/>
    <mergeCell ref="A253:C253"/>
    <mergeCell ref="A257:C257"/>
    <mergeCell ref="A258:C258"/>
    <mergeCell ref="A300:C300"/>
    <mergeCell ref="A301:C301"/>
    <mergeCell ref="A312:C312"/>
    <mergeCell ref="A313:C313"/>
    <mergeCell ref="A315:C315"/>
    <mergeCell ref="A316:C316"/>
    <mergeCell ref="A268:C268"/>
    <mergeCell ref="A269:C269"/>
    <mergeCell ref="A282:C282"/>
    <mergeCell ref="A283:C283"/>
    <mergeCell ref="A277:C277"/>
    <mergeCell ref="A278:C278"/>
    <mergeCell ref="A326:C326"/>
    <mergeCell ref="A332:C332"/>
    <mergeCell ref="A41:C41"/>
    <mergeCell ref="A12:C12"/>
    <mergeCell ref="A13:C13"/>
    <mergeCell ref="A14:C14"/>
    <mergeCell ref="A15:C15"/>
    <mergeCell ref="A34:C34"/>
    <mergeCell ref="A16:C16"/>
    <mergeCell ref="A17:C17"/>
    <mergeCell ref="A18:C18"/>
    <mergeCell ref="A20:C20"/>
    <mergeCell ref="A22:C22"/>
    <mergeCell ref="A23:C23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9:C39"/>
    <mergeCell ref="A40:C40"/>
    <mergeCell ref="A24:C24"/>
    <mergeCell ref="A82:C82"/>
    <mergeCell ref="A83:C83"/>
    <mergeCell ref="A85:C85"/>
    <mergeCell ref="A86:C86"/>
    <mergeCell ref="A65:C65"/>
    <mergeCell ref="A66:C66"/>
    <mergeCell ref="A67:C67"/>
    <mergeCell ref="A68:C68"/>
    <mergeCell ref="A53:C53"/>
    <mergeCell ref="A54:C54"/>
    <mergeCell ref="A57:C57"/>
    <mergeCell ref="A58:C58"/>
    <mergeCell ref="A59:C59"/>
    <mergeCell ref="A60:C60"/>
    <mergeCell ref="A61:C61"/>
    <mergeCell ref="A79:C79"/>
    <mergeCell ref="A80:C80"/>
    <mergeCell ref="A63:C63"/>
    <mergeCell ref="A64:C64"/>
    <mergeCell ref="A81:C81"/>
    <mergeCell ref="A84:C84"/>
    <mergeCell ref="A62:C62"/>
    <mergeCell ref="A69:C69"/>
    <mergeCell ref="A70:C70"/>
    <mergeCell ref="A231:C231"/>
    <mergeCell ref="A232:C232"/>
    <mergeCell ref="A167:C167"/>
    <mergeCell ref="A205:C205"/>
    <mergeCell ref="A210:C210"/>
    <mergeCell ref="A223:C223"/>
    <mergeCell ref="A173:C173"/>
    <mergeCell ref="A175:C175"/>
    <mergeCell ref="A176:C176"/>
    <mergeCell ref="A177:C177"/>
    <mergeCell ref="A190:C190"/>
    <mergeCell ref="A182:C182"/>
    <mergeCell ref="A189:C189"/>
    <mergeCell ref="A188:C188"/>
    <mergeCell ref="A198:C198"/>
    <mergeCell ref="A172:C172"/>
    <mergeCell ref="A178:C178"/>
    <mergeCell ref="A174:C174"/>
    <mergeCell ref="A224:C224"/>
    <mergeCell ref="A225:C225"/>
    <mergeCell ref="A192:C192"/>
    <mergeCell ref="A193:C193"/>
    <mergeCell ref="A194:C194"/>
    <mergeCell ref="A195:C195"/>
    <mergeCell ref="A242:C242"/>
    <mergeCell ref="A98:C98"/>
    <mergeCell ref="A235:C235"/>
    <mergeCell ref="A328:C328"/>
    <mergeCell ref="A329:C329"/>
    <mergeCell ref="A19:C19"/>
    <mergeCell ref="A21:C21"/>
    <mergeCell ref="A46:C46"/>
    <mergeCell ref="A47:C47"/>
    <mergeCell ref="A48:C48"/>
    <mergeCell ref="A71:C71"/>
    <mergeCell ref="A72:C72"/>
    <mergeCell ref="A73:C73"/>
    <mergeCell ref="A76:C76"/>
    <mergeCell ref="A77:C77"/>
    <mergeCell ref="A78:C78"/>
    <mergeCell ref="A74:C74"/>
    <mergeCell ref="A75:C75"/>
    <mergeCell ref="A179:C179"/>
    <mergeCell ref="A147:C147"/>
    <mergeCell ref="A149:C149"/>
    <mergeCell ref="A141:C141"/>
    <mergeCell ref="A166:C166"/>
    <mergeCell ref="A113:C113"/>
  </mergeCells>
  <pageMargins left="0.70866141732283461" right="0.7086614173228346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 Račun prihoda i rashoda po eko</vt:lpstr>
      <vt:lpstr>Prihodi i rashodi po izvorima</vt:lpstr>
      <vt:lpstr>Rashodi prema funkcijskoj kl</vt:lpstr>
      <vt:lpstr>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2024-03-27T12:12:19Z</cp:lastPrinted>
  <dcterms:created xsi:type="dcterms:W3CDTF">2022-08-12T12:51:27Z</dcterms:created>
  <dcterms:modified xsi:type="dcterms:W3CDTF">2024-03-28T10:17:48Z</dcterms:modified>
</cp:coreProperties>
</file>