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AŽETAK" sheetId="8" r:id="rId1"/>
    <sheet name=" Račun prihoda i rashoda" sheetId="3" r:id="rId2"/>
    <sheet name=" Račun prihoda i rashoda po eko" sheetId="9" r:id="rId3"/>
    <sheet name="Prihodi i rashodi po izvorima" sheetId="11" r:id="rId4"/>
    <sheet name="Rashodi prema funkcijskoj kl" sheetId="5" r:id="rId5"/>
    <sheet name="POSEBNI DIO" sheetId="7" r:id="rId6"/>
    <sheet name="List2" sheetId="2" r:id="rId7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1" l="1"/>
  <c r="H22" i="11"/>
  <c r="E22" i="11"/>
  <c r="H12" i="11"/>
  <c r="G12" i="11"/>
  <c r="F12" i="11"/>
  <c r="E12" i="11"/>
  <c r="E10" i="11" s="1"/>
  <c r="F30" i="11"/>
  <c r="F22" i="11" s="1"/>
  <c r="H11" i="11"/>
  <c r="G11" i="11"/>
  <c r="F11" i="11"/>
  <c r="H16" i="11"/>
  <c r="G16" i="11"/>
  <c r="F16" i="11"/>
  <c r="F13" i="11"/>
  <c r="F14" i="11"/>
  <c r="H15" i="11"/>
  <c r="G15" i="11"/>
  <c r="F15" i="11"/>
  <c r="E10" i="9"/>
  <c r="G93" i="3"/>
  <c r="H93" i="3"/>
  <c r="F30" i="9"/>
  <c r="G30" i="9"/>
  <c r="H30" i="9"/>
  <c r="E30" i="9"/>
  <c r="H24" i="9"/>
  <c r="H23" i="9" s="1"/>
  <c r="F11" i="9"/>
  <c r="F10" i="9" s="1"/>
  <c r="G11" i="9"/>
  <c r="G10" i="9" s="1"/>
  <c r="H11" i="9"/>
  <c r="H10" i="9" s="1"/>
  <c r="E11" i="9"/>
  <c r="H12" i="3"/>
  <c r="G12" i="3"/>
  <c r="H20" i="3"/>
  <c r="G20" i="3"/>
  <c r="H22" i="3"/>
  <c r="G22" i="3"/>
  <c r="H66" i="3"/>
  <c r="G66" i="3"/>
  <c r="H60" i="3"/>
  <c r="G60" i="3"/>
  <c r="H40" i="7"/>
  <c r="H109" i="7"/>
  <c r="G109" i="7"/>
  <c r="H54" i="7"/>
  <c r="G54" i="7"/>
  <c r="G40" i="7"/>
  <c r="F10" i="11" l="1"/>
  <c r="G10" i="11"/>
  <c r="H10" i="11"/>
  <c r="G24" i="9"/>
  <c r="G23" i="9" s="1"/>
  <c r="E24" i="9"/>
  <c r="E23" i="9" s="1"/>
  <c r="F24" i="9"/>
  <c r="F23" i="9" s="1"/>
  <c r="F12" i="3"/>
  <c r="F13" i="3"/>
  <c r="F22" i="3"/>
  <c r="F20" i="3"/>
  <c r="F17" i="3"/>
  <c r="F19" i="3"/>
  <c r="F15" i="3"/>
  <c r="F69" i="3"/>
  <c r="F104" i="3"/>
  <c r="F93" i="3"/>
  <c r="F86" i="3"/>
  <c r="F60" i="3"/>
  <c r="F59" i="3" s="1"/>
  <c r="F75" i="3"/>
  <c r="F68" i="3" s="1"/>
  <c r="F65" i="3"/>
  <c r="F77" i="3"/>
  <c r="F66" i="3"/>
  <c r="F98" i="3"/>
  <c r="F76" i="3"/>
  <c r="F72" i="3"/>
  <c r="F70" i="3"/>
  <c r="F64" i="3"/>
  <c r="F105" i="3"/>
  <c r="F97" i="3"/>
  <c r="F96" i="3" s="1"/>
  <c r="F95" i="3" s="1"/>
  <c r="F82" i="3"/>
  <c r="F81" i="3" s="1"/>
  <c r="F47" i="3"/>
  <c r="F43" i="7"/>
  <c r="F40" i="7"/>
  <c r="F22" i="7"/>
  <c r="F18" i="7"/>
  <c r="F10" i="7"/>
  <c r="F14" i="7"/>
  <c r="F104" i="7"/>
  <c r="F110" i="7"/>
  <c r="F109" i="7"/>
  <c r="F114" i="7"/>
  <c r="F129" i="7"/>
  <c r="F133" i="7"/>
  <c r="F137" i="7"/>
  <c r="F128" i="7"/>
  <c r="F132" i="7"/>
  <c r="F136" i="7"/>
  <c r="F147" i="7"/>
  <c r="F146" i="7"/>
  <c r="F60" i="7"/>
  <c r="F59" i="7"/>
  <c r="F91" i="7"/>
  <c r="F75" i="7"/>
  <c r="F67" i="7"/>
  <c r="F58" i="3" l="1"/>
  <c r="F56" i="3" s="1"/>
  <c r="F68" i="7"/>
  <c r="F80" i="7"/>
  <c r="F52" i="7"/>
  <c r="F78" i="7"/>
  <c r="F36" i="7"/>
  <c r="F35" i="7"/>
  <c r="F55" i="7"/>
  <c r="E31" i="3" l="1"/>
  <c r="E93" i="3" l="1"/>
  <c r="E86" i="3" l="1"/>
  <c r="E104" i="3"/>
  <c r="E96" i="3"/>
  <c r="E81" i="3"/>
  <c r="E68" i="3"/>
  <c r="E59" i="3"/>
  <c r="E46" i="3"/>
  <c r="E23" i="3"/>
  <c r="E21" i="3"/>
  <c r="E18" i="3"/>
  <c r="E16" i="3"/>
  <c r="E14" i="3"/>
  <c r="E11" i="3"/>
  <c r="B11" i="5"/>
  <c r="B10" i="5" s="1"/>
  <c r="F160" i="7"/>
  <c r="E155" i="7"/>
  <c r="F117" i="7"/>
  <c r="G117" i="7"/>
  <c r="G116" i="7" s="1"/>
  <c r="H117" i="7"/>
  <c r="H116" i="7" s="1"/>
  <c r="F116" i="7"/>
  <c r="E117" i="7"/>
  <c r="E116" i="7" s="1"/>
  <c r="F103" i="7"/>
  <c r="G103" i="7"/>
  <c r="H103" i="7"/>
  <c r="E103" i="7"/>
  <c r="E102" i="7" s="1"/>
  <c r="F66" i="7"/>
  <c r="G66" i="7"/>
  <c r="H66" i="7"/>
  <c r="E66" i="7"/>
  <c r="E65" i="7" s="1"/>
  <c r="F63" i="7"/>
  <c r="G63" i="7"/>
  <c r="H63" i="7"/>
  <c r="E63" i="7"/>
  <c r="F54" i="7"/>
  <c r="E54" i="7"/>
  <c r="E145" i="7"/>
  <c r="E143" i="7" s="1"/>
  <c r="E169" i="7" s="1"/>
  <c r="E140" i="7"/>
  <c r="E139" i="7" s="1"/>
  <c r="E138" i="7" s="1"/>
  <c r="E168" i="7" s="1"/>
  <c r="E135" i="7"/>
  <c r="E134" i="7"/>
  <c r="E131" i="7"/>
  <c r="E130" i="7" s="1"/>
  <c r="E127" i="7"/>
  <c r="E126" i="7" s="1"/>
  <c r="E123" i="7"/>
  <c r="E122" i="7"/>
  <c r="E120" i="7"/>
  <c r="E119" i="7" s="1"/>
  <c r="E113" i="7"/>
  <c r="E112" i="7" s="1"/>
  <c r="E108" i="7"/>
  <c r="E107" i="7" s="1"/>
  <c r="E97" i="7"/>
  <c r="E85" i="7" s="1"/>
  <c r="E161" i="7" s="1"/>
  <c r="E78" i="7"/>
  <c r="E160" i="7" s="1"/>
  <c r="E76" i="7"/>
  <c r="E74" i="7"/>
  <c r="E71" i="7"/>
  <c r="E70" i="7" s="1"/>
  <c r="E61" i="7"/>
  <c r="E58" i="7"/>
  <c r="E57" i="7" s="1"/>
  <c r="E51" i="7"/>
  <c r="E50" i="7"/>
  <c r="E47" i="7"/>
  <c r="E46" i="7" s="1"/>
  <c r="E42" i="7"/>
  <c r="E39" i="7"/>
  <c r="E34" i="7"/>
  <c r="E33" i="7" s="1"/>
  <c r="E31" i="7"/>
  <c r="E30" i="7" s="1"/>
  <c r="E28" i="7"/>
  <c r="E27" i="7" s="1"/>
  <c r="E25" i="7"/>
  <c r="E24" i="7" s="1"/>
  <c r="E21" i="7"/>
  <c r="E19" i="7" s="1"/>
  <c r="E157" i="7" s="1"/>
  <c r="E17" i="7"/>
  <c r="E16" i="7" s="1"/>
  <c r="E13" i="7"/>
  <c r="E11" i="7" s="1"/>
  <c r="E9" i="7"/>
  <c r="E8" i="7" s="1"/>
  <c r="E144" i="7" l="1"/>
  <c r="E95" i="3"/>
  <c r="E56" i="3" s="1"/>
  <c r="E58" i="3"/>
  <c r="E10" i="3"/>
  <c r="E8" i="3" s="1"/>
  <c r="E49" i="7"/>
  <c r="E159" i="7" s="1"/>
  <c r="E20" i="7"/>
  <c r="E115" i="7"/>
  <c r="E166" i="7" s="1"/>
  <c r="E38" i="7"/>
  <c r="E37" i="7" s="1"/>
  <c r="E23" i="7" s="1"/>
  <c r="E158" i="7" s="1"/>
  <c r="E111" i="7"/>
  <c r="E165" i="7" s="1"/>
  <c r="E125" i="7"/>
  <c r="E167" i="7" s="1"/>
  <c r="E101" i="7"/>
  <c r="E163" i="7" s="1"/>
  <c r="E12" i="7"/>
  <c r="E106" i="7"/>
  <c r="E164" i="7" s="1"/>
  <c r="E7" i="7"/>
  <c r="E154" i="7" s="1"/>
  <c r="E15" i="7"/>
  <c r="E156" i="7" s="1"/>
  <c r="H16" i="3"/>
  <c r="E153" i="7" l="1"/>
  <c r="E162" i="7"/>
  <c r="E152" i="7" s="1"/>
  <c r="E100" i="7"/>
  <c r="E6" i="7"/>
  <c r="F8" i="8"/>
  <c r="G8" i="8"/>
  <c r="H8" i="8"/>
  <c r="I8" i="8"/>
  <c r="J8" i="8"/>
  <c r="F11" i="8"/>
  <c r="G11" i="8"/>
  <c r="H11" i="8"/>
  <c r="I11" i="8"/>
  <c r="J11" i="8"/>
  <c r="F14" i="8"/>
  <c r="F22" i="8" s="1"/>
  <c r="F28" i="8" s="1"/>
  <c r="F21" i="8"/>
  <c r="G21" i="8"/>
  <c r="H21" i="8"/>
  <c r="I21" i="8"/>
  <c r="J21" i="8"/>
  <c r="F37" i="8"/>
  <c r="G34" i="8" s="1"/>
  <c r="G37" i="8" s="1"/>
  <c r="H34" i="8" s="1"/>
  <c r="H37" i="8" s="1"/>
  <c r="I34" i="8" s="1"/>
  <c r="I37" i="8" s="1"/>
  <c r="J34" i="8" s="1"/>
  <c r="J37" i="8" s="1"/>
  <c r="J14" i="8" l="1"/>
  <c r="J22" i="8" s="1"/>
  <c r="J28" i="8" s="1"/>
  <c r="H14" i="8"/>
  <c r="H22" i="8" s="1"/>
  <c r="H28" i="8" s="1"/>
  <c r="H29" i="8" s="1"/>
  <c r="G14" i="8"/>
  <c r="G22" i="8" s="1"/>
  <c r="G28" i="8" s="1"/>
  <c r="G29" i="8" s="1"/>
  <c r="E4" i="7"/>
  <c r="I14" i="8"/>
  <c r="I22" i="8"/>
  <c r="I28" i="8" s="1"/>
  <c r="I29" i="8" s="1"/>
  <c r="F29" i="8"/>
  <c r="J29" i="8"/>
  <c r="E11" i="5"/>
  <c r="E10" i="5" s="1"/>
  <c r="D11" i="5"/>
  <c r="D10" i="5" s="1"/>
  <c r="C11" i="5"/>
  <c r="C10" i="5" s="1"/>
  <c r="H127" i="7" l="1"/>
  <c r="H126" i="7" s="1"/>
  <c r="G127" i="7"/>
  <c r="G126" i="7" s="1"/>
  <c r="H145" i="7"/>
  <c r="H144" i="7" s="1"/>
  <c r="G145" i="7"/>
  <c r="G144" i="7" s="1"/>
  <c r="G135" i="7"/>
  <c r="G134" i="7" s="1"/>
  <c r="H135" i="7"/>
  <c r="H134" i="7" s="1"/>
  <c r="G131" i="7"/>
  <c r="G130" i="7" s="1"/>
  <c r="H131" i="7"/>
  <c r="H130" i="7" s="1"/>
  <c r="G123" i="7"/>
  <c r="G122" i="7" s="1"/>
  <c r="H123" i="7"/>
  <c r="H122" i="7" s="1"/>
  <c r="G120" i="7"/>
  <c r="G119" i="7" s="1"/>
  <c r="H120" i="7"/>
  <c r="H119" i="7" s="1"/>
  <c r="G113" i="7"/>
  <c r="G112" i="7" s="1"/>
  <c r="H113" i="7"/>
  <c r="H111" i="7" s="1"/>
  <c r="H165" i="7" s="1"/>
  <c r="G102" i="7"/>
  <c r="H101" i="7"/>
  <c r="H163" i="7" s="1"/>
  <c r="G97" i="7"/>
  <c r="G85" i="7" s="1"/>
  <c r="G161" i="7" s="1"/>
  <c r="H97" i="7"/>
  <c r="H85" i="7" s="1"/>
  <c r="H161" i="7" s="1"/>
  <c r="G71" i="7"/>
  <c r="G70" i="7" s="1"/>
  <c r="H71" i="7"/>
  <c r="H70" i="7" s="1"/>
  <c r="G65" i="7"/>
  <c r="H65" i="7"/>
  <c r="G58" i="7"/>
  <c r="G57" i="7" s="1"/>
  <c r="H58" i="7"/>
  <c r="H57" i="7" s="1"/>
  <c r="G51" i="7"/>
  <c r="G50" i="7" s="1"/>
  <c r="H51" i="7"/>
  <c r="H50" i="7" s="1"/>
  <c r="G76" i="7"/>
  <c r="H76" i="7"/>
  <c r="G74" i="7"/>
  <c r="H74" i="7"/>
  <c r="G61" i="7"/>
  <c r="H61" i="7"/>
  <c r="G47" i="7"/>
  <c r="G46" i="7" s="1"/>
  <c r="H47" i="7"/>
  <c r="H46" i="7" s="1"/>
  <c r="G42" i="7"/>
  <c r="H42" i="7"/>
  <c r="G39" i="7"/>
  <c r="H39" i="7"/>
  <c r="G34" i="7"/>
  <c r="G33" i="7" s="1"/>
  <c r="H34" i="7"/>
  <c r="H33" i="7" s="1"/>
  <c r="G31" i="7"/>
  <c r="G30" i="7" s="1"/>
  <c r="H31" i="7"/>
  <c r="H30" i="7" s="1"/>
  <c r="G28" i="7"/>
  <c r="G27" i="7" s="1"/>
  <c r="H28" i="7"/>
  <c r="H27" i="7" s="1"/>
  <c r="G25" i="7"/>
  <c r="G24" i="7" s="1"/>
  <c r="H25" i="7"/>
  <c r="H24" i="7" s="1"/>
  <c r="G21" i="7"/>
  <c r="G20" i="7" s="1"/>
  <c r="H21" i="7"/>
  <c r="H20" i="7" s="1"/>
  <c r="G17" i="7"/>
  <c r="G16" i="7" s="1"/>
  <c r="H17" i="7"/>
  <c r="H16" i="7" s="1"/>
  <c r="G13" i="7"/>
  <c r="G12" i="7" s="1"/>
  <c r="H13" i="7"/>
  <c r="H12" i="7" s="1"/>
  <c r="G9" i="7"/>
  <c r="G8" i="7" s="1"/>
  <c r="H9" i="7"/>
  <c r="H8" i="7" s="1"/>
  <c r="G78" i="7"/>
  <c r="G160" i="7" s="1"/>
  <c r="H78" i="7"/>
  <c r="H160" i="7" s="1"/>
  <c r="G140" i="7"/>
  <c r="G139" i="7" s="1"/>
  <c r="G138" i="7" s="1"/>
  <c r="G168" i="7" s="1"/>
  <c r="H140" i="7"/>
  <c r="H139" i="7" s="1"/>
  <c r="H138" i="7" s="1"/>
  <c r="H168" i="7" s="1"/>
  <c r="H115" i="7" l="1"/>
  <c r="H166" i="7" s="1"/>
  <c r="G115" i="7"/>
  <c r="G166" i="7" s="1"/>
  <c r="G49" i="7"/>
  <c r="G159" i="7" s="1"/>
  <c r="H49" i="7"/>
  <c r="H159" i="7" s="1"/>
  <c r="G11" i="7"/>
  <c r="G155" i="7" s="1"/>
  <c r="H7" i="7"/>
  <c r="H154" i="7" s="1"/>
  <c r="G38" i="7"/>
  <c r="G37" i="7" s="1"/>
  <c r="G23" i="7" s="1"/>
  <c r="G158" i="7" s="1"/>
  <c r="G7" i="7"/>
  <c r="G154" i="7" s="1"/>
  <c r="H108" i="7"/>
  <c r="H107" i="7" s="1"/>
  <c r="G108" i="7"/>
  <c r="G107" i="7" s="1"/>
  <c r="H143" i="7"/>
  <c r="H169" i="7" s="1"/>
  <c r="G143" i="7"/>
  <c r="G169" i="7" s="1"/>
  <c r="G125" i="7"/>
  <c r="G167" i="7" s="1"/>
  <c r="H125" i="7"/>
  <c r="H167" i="7" s="1"/>
  <c r="G111" i="7"/>
  <c r="G165" i="7" s="1"/>
  <c r="H112" i="7"/>
  <c r="G101" i="7"/>
  <c r="G163" i="7" s="1"/>
  <c r="H102" i="7"/>
  <c r="H38" i="7"/>
  <c r="H37" i="7" s="1"/>
  <c r="H23" i="7" s="1"/>
  <c r="H158" i="7" s="1"/>
  <c r="H19" i="7"/>
  <c r="H157" i="7" s="1"/>
  <c r="G19" i="7"/>
  <c r="G157" i="7" s="1"/>
  <c r="H15" i="7"/>
  <c r="H156" i="7" s="1"/>
  <c r="G15" i="7"/>
  <c r="G156" i="7" s="1"/>
  <c r="H11" i="7"/>
  <c r="H155" i="7" s="1"/>
  <c r="F76" i="7"/>
  <c r="F74" i="7"/>
  <c r="F71" i="7"/>
  <c r="F70" i="7" s="1"/>
  <c r="F65" i="7"/>
  <c r="F61" i="7"/>
  <c r="F58" i="7"/>
  <c r="F57" i="7" s="1"/>
  <c r="F51" i="7"/>
  <c r="F50" i="7" s="1"/>
  <c r="F47" i="7"/>
  <c r="F46" i="7" s="1"/>
  <c r="F28" i="7"/>
  <c r="F27" i="7" s="1"/>
  <c r="F25" i="7"/>
  <c r="F24" i="7" s="1"/>
  <c r="F97" i="7"/>
  <c r="F85" i="7" s="1"/>
  <c r="F161" i="7" s="1"/>
  <c r="F31" i="7"/>
  <c r="F30" i="7" s="1"/>
  <c r="F34" i="7"/>
  <c r="F33" i="7" s="1"/>
  <c r="F42" i="7"/>
  <c r="F39" i="7"/>
  <c r="F9" i="7"/>
  <c r="F7" i="7" s="1"/>
  <c r="F13" i="7"/>
  <c r="F11" i="7" s="1"/>
  <c r="F155" i="7" s="1"/>
  <c r="F17" i="7"/>
  <c r="F15" i="7" s="1"/>
  <c r="F156" i="7" s="1"/>
  <c r="F21" i="7"/>
  <c r="F19" i="7" s="1"/>
  <c r="F157" i="7" s="1"/>
  <c r="F101" i="7"/>
  <c r="F163" i="7" s="1"/>
  <c r="F113" i="7"/>
  <c r="F112" i="7" s="1"/>
  <c r="F123" i="7"/>
  <c r="F122" i="7" s="1"/>
  <c r="F120" i="7"/>
  <c r="F119" i="7" s="1"/>
  <c r="F115" i="7" s="1"/>
  <c r="F166" i="7" s="1"/>
  <c r="F108" i="7"/>
  <c r="F145" i="7"/>
  <c r="F144" i="7" s="1"/>
  <c r="G153" i="7" l="1"/>
  <c r="F49" i="7"/>
  <c r="F159" i="7" s="1"/>
  <c r="H153" i="7"/>
  <c r="H106" i="7"/>
  <c r="G106" i="7"/>
  <c r="G6" i="7"/>
  <c r="H6" i="7"/>
  <c r="F20" i="7"/>
  <c r="F38" i="7"/>
  <c r="F37" i="7" s="1"/>
  <c r="F23" i="7" s="1"/>
  <c r="F158" i="7" s="1"/>
  <c r="F111" i="7"/>
  <c r="F165" i="7" s="1"/>
  <c r="F106" i="7"/>
  <c r="F164" i="7" s="1"/>
  <c r="F107" i="7"/>
  <c r="F154" i="7"/>
  <c r="F8" i="7"/>
  <c r="F143" i="7"/>
  <c r="F169" i="7" s="1"/>
  <c r="F102" i="7"/>
  <c r="F12" i="7"/>
  <c r="F16" i="7"/>
  <c r="F135" i="7"/>
  <c r="F134" i="7" s="1"/>
  <c r="F131" i="7"/>
  <c r="F130" i="7" s="1"/>
  <c r="H100" i="7" l="1"/>
  <c r="H4" i="7" s="1"/>
  <c r="H164" i="7"/>
  <c r="H162" i="7" s="1"/>
  <c r="H152" i="7" s="1"/>
  <c r="G100" i="7"/>
  <c r="G4" i="7" s="1"/>
  <c r="G164" i="7"/>
  <c r="G162" i="7" s="1"/>
  <c r="G152" i="7" s="1"/>
  <c r="F153" i="7"/>
  <c r="F6" i="7"/>
  <c r="F16" i="3"/>
  <c r="F18" i="3"/>
  <c r="F11" i="3"/>
  <c r="G23" i="3"/>
  <c r="H23" i="3"/>
  <c r="G21" i="3"/>
  <c r="H21" i="3"/>
  <c r="G18" i="3"/>
  <c r="H18" i="3"/>
  <c r="G16" i="3"/>
  <c r="G14" i="3"/>
  <c r="H14" i="3"/>
  <c r="G11" i="3"/>
  <c r="H11" i="3"/>
  <c r="F23" i="3"/>
  <c r="F21" i="3"/>
  <c r="F14" i="3"/>
  <c r="H10" i="3" l="1"/>
  <c r="H8" i="3" s="1"/>
  <c r="G10" i="3"/>
  <c r="G8" i="3" s="1"/>
  <c r="F10" i="3"/>
  <c r="F127" i="7"/>
  <c r="F126" i="7" s="1"/>
  <c r="F125" i="7" s="1"/>
  <c r="F167" i="7" s="1"/>
  <c r="F46" i="3" l="1"/>
  <c r="F8" i="3" s="1"/>
  <c r="F140" i="7"/>
  <c r="F139" i="7" s="1"/>
  <c r="F138" i="7" s="1"/>
  <c r="G59" i="3"/>
  <c r="H59" i="3"/>
  <c r="G104" i="3"/>
  <c r="H104" i="3"/>
  <c r="G96" i="3"/>
  <c r="H96" i="3"/>
  <c r="G86" i="3"/>
  <c r="H86" i="3"/>
  <c r="G81" i="3"/>
  <c r="H81" i="3"/>
  <c r="G68" i="3"/>
  <c r="H68" i="3"/>
  <c r="F100" i="7" l="1"/>
  <c r="F4" i="7" s="1"/>
  <c r="F168" i="7"/>
  <c r="F162" i="7" s="1"/>
  <c r="F152" i="7" s="1"/>
  <c r="H95" i="3"/>
  <c r="H58" i="3"/>
  <c r="H56" i="3" s="1"/>
  <c r="G95" i="3"/>
  <c r="G58" i="3"/>
  <c r="G56" i="3" l="1"/>
</calcChain>
</file>

<file path=xl/sharedStrings.xml><?xml version="1.0" encoding="utf-8"?>
<sst xmlns="http://schemas.openxmlformats.org/spreadsheetml/2006/main" count="504" uniqueCount="175">
  <si>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</si>
  <si>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</si>
  <si>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</si>
  <si>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</si>
  <si>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</si>
  <si>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</si>
  <si>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</si>
  <si>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</si>
  <si>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</si>
  <si>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</si>
  <si>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</si>
  <si>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</si>
  <si>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</si>
  <si>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</si>
  <si>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</si>
  <si>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</si>
  <si>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</si>
  <si>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</si>
  <si>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</si>
  <si>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</si>
  <si>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</si>
  <si>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</si>
  <si>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</si>
  <si>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</si>
  <si>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</si>
  <si>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</si>
  <si>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</si>
  <si>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</si>
  <si>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</si>
  <si>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</si>
  <si>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</si>
  <si>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</si>
  <si>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</si>
  <si>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Prihodi od imovine</t>
  </si>
  <si>
    <t>Prihodi od upravnih i administrativnih pristojbi, pristojbi po posebnim propisima i naknada</t>
  </si>
  <si>
    <t>Kazne, upravne mjere i ostali prihodi</t>
  </si>
  <si>
    <t>Financijski rashodi</t>
  </si>
  <si>
    <t>Naknade građanima i kućanstvima na temelju osiguranja i druge naknade</t>
  </si>
  <si>
    <t>Rashodi za dodatna ulaganja na nefinancijskoj imovini</t>
  </si>
  <si>
    <t xml:space="preserve">Prihodi od prodaje proizvoda i robe te pruženih usluga, prihodi od donacija </t>
  </si>
  <si>
    <t>09 Obrazovanje</t>
  </si>
  <si>
    <t>0912 Osnovno obrazovanje</t>
  </si>
  <si>
    <t>096 Dodatne usluge u obrazovanju</t>
  </si>
  <si>
    <t>Prihodi za posebne namjene</t>
  </si>
  <si>
    <t>Pomoći</t>
  </si>
  <si>
    <t>Vlastiti prihodi</t>
  </si>
  <si>
    <t>Donacije</t>
  </si>
  <si>
    <t>EUR</t>
  </si>
  <si>
    <t>HZZ PRIPRAVNIK</t>
  </si>
  <si>
    <t>EU</t>
  </si>
  <si>
    <t>Aktivnost 1012-01</t>
  </si>
  <si>
    <t xml:space="preserve"> Materijalni rashodi škola</t>
  </si>
  <si>
    <t xml:space="preserve">Aktivnost 1012-02 </t>
  </si>
  <si>
    <t>Financijski rashodi škola</t>
  </si>
  <si>
    <t xml:space="preserve">Kapitalni projekt 1012-03 </t>
  </si>
  <si>
    <t>Opremanje škola</t>
  </si>
  <si>
    <t>Kapitalni projekt 1012-04</t>
  </si>
  <si>
    <t>Rashodi za dodatna ulaganja na školama</t>
  </si>
  <si>
    <t>Aktivnost 1012-09</t>
  </si>
  <si>
    <t>Vlastiti i namjenski prihodi škola - rashodi za zaposlene</t>
  </si>
  <si>
    <t>Aktivnost 1012-10</t>
  </si>
  <si>
    <t>Vlastiti i namjenski prihodi škola - materijalni rashodi</t>
  </si>
  <si>
    <t>Aktivnost 1012-11</t>
  </si>
  <si>
    <t>Vlastiti i namjenski prihodi škola - financijski rashodi</t>
  </si>
  <si>
    <t>Aktivnost 1012-12</t>
  </si>
  <si>
    <t>Vlastiti i namjenski prihodi škola - opremanje škola</t>
  </si>
  <si>
    <t>PROGRAM 1013</t>
  </si>
  <si>
    <t>Izvanstandardni progami u školama</t>
  </si>
  <si>
    <t>Aktivnost 1013-04</t>
  </si>
  <si>
    <t>Aktivnost 1013-06</t>
  </si>
  <si>
    <t>Produženi boravak</t>
  </si>
  <si>
    <t>Aktivnost 1013-07</t>
  </si>
  <si>
    <t>Aktivnost 1013-13</t>
  </si>
  <si>
    <t>Aktivnost 1013-14</t>
  </si>
  <si>
    <t>Aktivnost 1013-16</t>
  </si>
  <si>
    <t>Potpora stručnim službama osnovnih škola - logoped</t>
  </si>
  <si>
    <t>Aktivnost 1013-18</t>
  </si>
  <si>
    <t>Centar DaR</t>
  </si>
  <si>
    <t>Izvor financiranja 57</t>
  </si>
  <si>
    <t>Izvor financiranja 11</t>
  </si>
  <si>
    <t>Izvor financiranja 31</t>
  </si>
  <si>
    <t xml:space="preserve">Vlastiti prihodi </t>
  </si>
  <si>
    <t>Izvor financiranja 41</t>
  </si>
  <si>
    <t>Izvor financiranja 6103</t>
  </si>
  <si>
    <t>Vlastiti izvori</t>
  </si>
  <si>
    <t>Višak prihoda poslovanja</t>
  </si>
  <si>
    <t>Vlastiti prihodi - višak</t>
  </si>
  <si>
    <t>VIŠAK KORIŠTEN ZA POKRIĆE RASHODA</t>
  </si>
  <si>
    <t>Prihodi za posebne namjene - višak</t>
  </si>
  <si>
    <t>Pomoći - višak</t>
  </si>
  <si>
    <t>HZZ PRIPRAVNIK - višak</t>
  </si>
  <si>
    <t>Donacije - višak</t>
  </si>
  <si>
    <t>Pomoći MZO rashodi za zaposlene</t>
  </si>
  <si>
    <t>Izvor financiranja 92530</t>
  </si>
  <si>
    <t>Pomoćnici u nastavi - Škola puna mogućnosti 6</t>
  </si>
  <si>
    <t>Izvor financiranja 5402</t>
  </si>
  <si>
    <t>Prehrana učenika u osnovnim školama 5,47 i Šk. shema</t>
  </si>
  <si>
    <t>Financiranje nabave drugih obrazovnih materijala - radne bilježnice</t>
  </si>
  <si>
    <t>Izvanškolske aktivnosti, UZ Maraška, Novigradsko proljeće</t>
  </si>
  <si>
    <t>Materijalni rashodi - prijevoz</t>
  </si>
  <si>
    <t>31-COP</t>
  </si>
  <si>
    <t>31-MENTORSTVA</t>
  </si>
  <si>
    <t>32-PRIJEVOZ DJELATNIKA COP</t>
  </si>
  <si>
    <t>32-NAKNADA INVALIDI</t>
  </si>
  <si>
    <t>32-ISLAMSKI VJERONAUK</t>
  </si>
  <si>
    <t>Prihodi za posebne namjene - školska kuhinja</t>
  </si>
  <si>
    <t>Izvor financiranja 9231</t>
  </si>
  <si>
    <t>Izvor financiranja 9241</t>
  </si>
  <si>
    <t>MZO lektira</t>
  </si>
  <si>
    <t>MZO udžbenici</t>
  </si>
  <si>
    <t>Izvor financiranja 9257</t>
  </si>
  <si>
    <t>Rashodi za zaposlene (pripravnica razlika za osnovicu)</t>
  </si>
  <si>
    <t>Rashodi za zaposlene (dar u naravi, pripravnica razlika za osnovicu)</t>
  </si>
  <si>
    <t>Rashodi za zaposlene voditelje ŠSD</t>
  </si>
  <si>
    <t>Izvor financiranja 926103</t>
  </si>
  <si>
    <t>Materijalni rashodi (najam dvorane, uz maraška, ost prih)</t>
  </si>
  <si>
    <t>Naknade građanima i kućanstvima na temelju osiguranja i druge naknade (radne bilježnice)</t>
  </si>
  <si>
    <t xml:space="preserve">Prihodi za posebne namjene </t>
  </si>
  <si>
    <t xml:space="preserve">PROGRAM 1012 </t>
  </si>
  <si>
    <t>Osnovnoškolsko obrazovanje</t>
  </si>
  <si>
    <t>* Napomena: Iznosi u stupcima Izvršenje 2022. preračunavaju se iz kuna u eure prema fiksnom tečaju konverzije (1 EUR=7,53450 kuna) i po pravilima za preračunavanje i zaokruživanje.</t>
  </si>
  <si>
    <t>PRIJENOS VIŠKA / MANJKA U SLJEDEĆE RAZDOBLJE</t>
  </si>
  <si>
    <t>VIŠAK / MANJAK TEKUĆE GODINE</t>
  </si>
  <si>
    <t>PRIJENOS VIŠKA / MANJKA IZ PRETHODNE(IH) GODINE</t>
  </si>
  <si>
    <t>Projekcija proračuna
za 2026.</t>
  </si>
  <si>
    <t>Projekcija proračuna
za 2025.</t>
  </si>
  <si>
    <t>Proračun za 2024.</t>
  </si>
  <si>
    <t>Plan 2023.</t>
  </si>
  <si>
    <t>Izvršenje 2022.*</t>
  </si>
  <si>
    <t>D) VIŠEGODIŠNJI PLAN URAVNOTEŽENJA</t>
  </si>
  <si>
    <t>VIŠAK / MANJAK + NETO FINANCIRANJE + PRIJENOS VIŠKA / MANJKA IZ PRETHODNE(IH) GODINE - PRIJENOS VIŠKA / MANJKA U SLJEDEĆE RAZDOBLJE</t>
  </si>
  <si>
    <t xml:space="preserve">C) PRENESENI VIŠAK ILI PRENESENI MANJAK </t>
  </si>
  <si>
    <t>5 IZDACI ZA FINANCIJSKU IMOVINU I OTPLATE ZAJMOVA</t>
  </si>
  <si>
    <t>8 PRIMICI OD FINANCIJSKE IMOVINE I ZADUŽIVANJA</t>
  </si>
  <si>
    <t>4 RASHODI ZA NABAVU NEFINANCIJSKE IMOVINE</t>
  </si>
  <si>
    <t>3 RASHODI  POSLOVANJA</t>
  </si>
  <si>
    <t>7 PRIHODI OD PRODAJE NEFINANCIJSKE IMOVINE</t>
  </si>
  <si>
    <t>6 PRIHODI POSLOVANJA</t>
  </si>
  <si>
    <t>PRIHODI POSLOVANJA PREMA EKONOMSKOJ KLASIFIKACIJI</t>
  </si>
  <si>
    <t>Izvršenje 2022.</t>
  </si>
  <si>
    <t>Plan za 2024.</t>
  </si>
  <si>
    <t>Projekcija 
za 2026.</t>
  </si>
  <si>
    <t>RASHODI POSLOVANJA PREMA EKONOMSKOJ KLASIFIKACIJI</t>
  </si>
  <si>
    <t>Brojčana oznaka i naziv</t>
  </si>
  <si>
    <t>FINANCIJSKI PLAN OSNOVNE ŠKOLE BARTULA KAŠIĆA 
ZA 2024. I PROJEKCIJA ZA 2025. I 2026. GODINU</t>
  </si>
  <si>
    <t>FINANCIJSKI PLAN OSNOVNE ŠKOLE BARTULA KAŠIĆA
ZA 2024. I PROJEKCIJA ZA 2025. I 2026. GODINU</t>
  </si>
  <si>
    <t>Plan za 2023.</t>
  </si>
  <si>
    <t>Izvor financiranja 925401</t>
  </si>
  <si>
    <t>Ostale tekuće donacije u naravi</t>
  </si>
  <si>
    <t>PROJEKTI</t>
  </si>
  <si>
    <t>Projekti - višak</t>
  </si>
  <si>
    <t>Manjak prihoda poslovanja</t>
  </si>
  <si>
    <t>Pomoći Projekt prehrane</t>
  </si>
  <si>
    <t>EU Projekt prehrane</t>
  </si>
  <si>
    <t>Pomoći Shema</t>
  </si>
  <si>
    <t>EU Shema</t>
  </si>
  <si>
    <t>Materijalni rashodi - prijevoz + sl. putovanja</t>
  </si>
  <si>
    <t>A. RAČUN PRIHODA I RASHODA</t>
  </si>
  <si>
    <t>PRIHODI POSLOVANJA  PREMA IZVORIMA FINANCIRANJA</t>
  </si>
  <si>
    <t>11 Opći prihodi i primici</t>
  </si>
  <si>
    <t>31 Vlastiti prihodi</t>
  </si>
  <si>
    <t>41 Prihodi za posebne namjene</t>
  </si>
  <si>
    <t>5402 EU</t>
  </si>
  <si>
    <t>57 Pomoći</t>
  </si>
  <si>
    <t>6103 Donacije</t>
  </si>
  <si>
    <t>RASHODI POSLOVANJA  PREMA IZVORIMA FINANCIRANJA</t>
  </si>
  <si>
    <t>9231 Vlastiti prihodi - višak</t>
  </si>
  <si>
    <t>9241 Prihodi za posebne namjene - višak</t>
  </si>
  <si>
    <t>92530 HZZ PRIPRAVNIK - višak</t>
  </si>
  <si>
    <t>6257 Pomoći - višak</t>
  </si>
  <si>
    <t>925401 Projekti - višak</t>
  </si>
  <si>
    <t>926103 Donacije - višak</t>
  </si>
  <si>
    <t>PRIHODI POSLOVANJA PO EKONOMSKOJ KLASIFIKACIJI I IZVORIMA FINANCIRANJA</t>
  </si>
  <si>
    <t>RASHODI POSLOVANJA PO EKONOMSKOJ KLASIFIKACIJI I IZVORIMA FINANCIRANJA</t>
  </si>
  <si>
    <t xml:space="preserve">                                   MANJAK POKRIVEN TEKUĆIM PRIHODIMA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</si>
</sst>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theme="8" tint="-0.249977111117893"/>
      <name val="Calibri"/>
      <family val="2"/>
      <charset val="238"/>
      <scheme val="minor"/>
    </font>
    <font>
      <sz val="12"/>
      <color theme="8" tint="-0.249977111117893"/>
      <name val="Arial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u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0" fontId="8" fillId="5" borderId="3" xfId="0" applyNumberFormat="1" applyFont="1" applyFill="1" applyBorder="1" applyAlignment="1" applyProtection="1">
      <alignment horizontal="left" vertical="center" wrapText="1"/>
    </xf>
    <xf numFmtId="0" fontId="8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8" fillId="5" borderId="3" xfId="0" quotePrefix="1" applyFont="1" applyFill="1" applyBorder="1" applyAlignment="1">
      <alignment horizontal="left" vertical="center" wrapText="1"/>
    </xf>
    <xf numFmtId="0" fontId="8" fillId="5" borderId="3" xfId="0" applyNumberFormat="1" applyFont="1" applyFill="1" applyBorder="1" applyAlignment="1" applyProtection="1">
      <alignment vertical="center" wrapText="1"/>
    </xf>
    <xf numFmtId="0" fontId="8" fillId="0" borderId="3" xfId="0" quotePrefix="1" applyFont="1" applyFill="1" applyBorder="1" applyAlignment="1">
      <alignment horizontal="left" vertical="center"/>
    </xf>
    <xf numFmtId="0" fontId="10" fillId="7" borderId="3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10" fillId="7" borderId="3" xfId="0" applyFont="1" applyFill="1" applyBorder="1" applyAlignment="1">
      <alignment horizontal="left" vertical="center"/>
    </xf>
    <xf numFmtId="0" fontId="10" fillId="7" borderId="3" xfId="0" applyNumberFormat="1" applyFont="1" applyFill="1" applyBorder="1" applyAlignment="1" applyProtection="1">
      <alignment horizontal="left" vertical="center"/>
    </xf>
    <xf numFmtId="0" fontId="10" fillId="7" borderId="3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0" fillId="8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2" borderId="0" xfId="0" quotePrefix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11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 applyProtection="1">
      <alignment horizontal="right" wrapText="1"/>
    </xf>
    <xf numFmtId="4" fontId="3" fillId="5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shrinkToFit="1"/>
    </xf>
    <xf numFmtId="4" fontId="3" fillId="0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4" fontId="5" fillId="6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left" vertical="center" wrapText="1"/>
    </xf>
    <xf numFmtId="4" fontId="5" fillId="9" borderId="3" xfId="0" applyNumberFormat="1" applyFont="1" applyFill="1" applyBorder="1" applyAlignment="1">
      <alignment horizontal="right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4" fontId="18" fillId="2" borderId="3" xfId="0" applyNumberFormat="1" applyFont="1" applyFill="1" applyBorder="1" applyAlignment="1">
      <alignment horizontal="right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19" fillId="2" borderId="3" xfId="0" applyNumberFormat="1" applyFont="1" applyFill="1" applyBorder="1" applyAlignment="1">
      <alignment horizontal="right"/>
    </xf>
    <xf numFmtId="0" fontId="21" fillId="0" borderId="0" xfId="0" applyFont="1"/>
    <xf numFmtId="4" fontId="22" fillId="2" borderId="3" xfId="0" applyNumberFormat="1" applyFont="1" applyFill="1" applyBorder="1" applyAlignment="1">
      <alignment horizontal="right"/>
    </xf>
    <xf numFmtId="4" fontId="22" fillId="2" borderId="3" xfId="0" applyNumberFormat="1" applyFont="1" applyFill="1" applyBorder="1" applyAlignment="1" applyProtection="1">
      <alignment horizontal="right" wrapText="1"/>
    </xf>
    <xf numFmtId="0" fontId="23" fillId="0" borderId="0" xfId="0" applyFont="1"/>
    <xf numFmtId="0" fontId="24" fillId="0" borderId="0" xfId="0" applyFont="1"/>
    <xf numFmtId="0" fontId="20" fillId="2" borderId="4" xfId="0" applyNumberFormat="1" applyFont="1" applyFill="1" applyBorder="1" applyAlignment="1" applyProtection="1">
      <alignment horizontal="left" vertical="center" wrapText="1"/>
    </xf>
    <xf numFmtId="4" fontId="18" fillId="2" borderId="3" xfId="0" applyNumberFormat="1" applyFont="1" applyFill="1" applyBorder="1" applyAlignment="1" applyProtection="1">
      <alignment horizontal="right" wrapText="1"/>
    </xf>
    <xf numFmtId="164" fontId="17" fillId="6" borderId="3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4" fontId="25" fillId="4" borderId="3" xfId="0" applyNumberFormat="1" applyFont="1" applyFill="1" applyBorder="1" applyAlignment="1" applyProtection="1">
      <alignment horizontal="center" vertical="center" wrapText="1"/>
    </xf>
    <xf numFmtId="164" fontId="17" fillId="2" borderId="3" xfId="0" applyNumberFormat="1" applyFont="1" applyFill="1" applyBorder="1" applyAlignment="1">
      <alignment horizontal="right"/>
    </xf>
    <xf numFmtId="164" fontId="25" fillId="2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 wrapText="1"/>
    </xf>
    <xf numFmtId="0" fontId="10" fillId="0" borderId="1" xfId="0" quotePrefix="1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11" fillId="0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/>
    </xf>
    <xf numFmtId="4" fontId="30" fillId="2" borderId="3" xfId="0" applyNumberFormat="1" applyFont="1" applyFill="1" applyBorder="1" applyAlignment="1">
      <alignment horizontal="right"/>
    </xf>
    <xf numFmtId="4" fontId="30" fillId="0" borderId="3" xfId="0" applyNumberFormat="1" applyFont="1" applyFill="1" applyBorder="1" applyAlignment="1">
      <alignment horizontal="right"/>
    </xf>
    <xf numFmtId="164" fontId="9" fillId="2" borderId="3" xfId="0" quotePrefix="1" applyNumberFormat="1" applyFont="1" applyFill="1" applyBorder="1" applyAlignment="1">
      <alignment horizontal="right" vertical="center" wrapText="1"/>
    </xf>
    <xf numFmtId="164" fontId="8" fillId="2" borderId="3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 applyProtection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32" fillId="0" borderId="0" xfId="0" applyFont="1"/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4" fontId="17" fillId="0" borderId="3" xfId="0" applyNumberFormat="1" applyFont="1" applyFill="1" applyBorder="1" applyAlignment="1">
      <alignment horizontal="right"/>
    </xf>
    <xf numFmtId="0" fontId="3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31" fillId="2" borderId="3" xfId="0" quotePrefix="1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/>
    <xf numFmtId="0" fontId="31" fillId="2" borderId="3" xfId="0" quotePrefix="1" applyFont="1" applyFill="1" applyBorder="1" applyAlignment="1">
      <alignment horizontal="left" vertical="center" shrinkToFit="1"/>
    </xf>
    <xf numFmtId="4" fontId="6" fillId="8" borderId="3" xfId="0" applyNumberFormat="1" applyFont="1" applyFill="1" applyBorder="1" applyAlignment="1">
      <alignment horizontal="right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8" borderId="2" xfId="0" applyNumberFormat="1" applyFont="1" applyFill="1" applyBorder="1" applyAlignment="1" applyProtection="1">
      <alignment horizontal="center" vertical="center" wrapText="1"/>
    </xf>
    <xf numFmtId="0" fontId="10" fillId="8" borderId="4" xfId="0" applyNumberFormat="1" applyFont="1" applyFill="1" applyBorder="1" applyAlignment="1" applyProtection="1">
      <alignment horizontal="center" vertical="center" wrapText="1"/>
    </xf>
    <xf numFmtId="0" fontId="9" fillId="2" borderId="1" xfId="0" quotePrefix="1" applyFont="1" applyFill="1" applyBorder="1" applyAlignment="1">
      <alignment horizontal="left" vertical="center" shrinkToFit="1"/>
    </xf>
    <xf numFmtId="0" fontId="9" fillId="2" borderId="2" xfId="0" quotePrefix="1" applyFont="1" applyFill="1" applyBorder="1" applyAlignment="1">
      <alignment horizontal="left" vertical="center" shrinkToFit="1"/>
    </xf>
    <xf numFmtId="0" fontId="9" fillId="2" borderId="4" xfId="0" quotePrefix="1" applyFont="1" applyFill="1" applyBorder="1" applyAlignment="1">
      <alignment horizontal="left" vertical="center" shrinkToFi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7" borderId="2" xfId="0" applyNumberFormat="1" applyFont="1" applyFill="1" applyBorder="1" applyAlignment="1" applyProtection="1">
      <alignment horizontal="center" vertical="center" wrapText="1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120" zoomScaleNormal="120" workbookViewId="0">
      <selection activeCell="H28" sqref="H2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4" t="s">
        <v>145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7.4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144" t="s">
        <v>21</v>
      </c>
      <c r="B3" s="144"/>
      <c r="C3" s="144"/>
      <c r="D3" s="144"/>
      <c r="E3" s="144"/>
      <c r="F3" s="144"/>
      <c r="G3" s="144"/>
      <c r="H3" s="144"/>
      <c r="I3" s="145"/>
      <c r="J3" s="145"/>
    </row>
    <row r="4" spans="1:10" ht="17.45" x14ac:dyDescent="0.3">
      <c r="A4" s="19"/>
      <c r="B4" s="19"/>
      <c r="C4" s="19"/>
      <c r="D4" s="19"/>
      <c r="E4" s="19"/>
      <c r="F4" s="19"/>
      <c r="G4" s="19"/>
      <c r="H4" s="19"/>
      <c r="I4" s="5"/>
      <c r="J4" s="5"/>
    </row>
    <row r="5" spans="1:10" ht="15.75" x14ac:dyDescent="0.25">
      <c r="A5" s="144" t="s">
        <v>26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7.45" x14ac:dyDescent="0.3">
      <c r="A6" s="1"/>
      <c r="B6" s="2"/>
      <c r="C6" s="2"/>
      <c r="D6" s="2"/>
      <c r="E6" s="6"/>
      <c r="F6" s="7"/>
      <c r="G6" s="7"/>
      <c r="H6" s="7"/>
      <c r="I6" s="7"/>
      <c r="J6" s="26" t="s">
        <v>47</v>
      </c>
    </row>
    <row r="7" spans="1:10" ht="25.5" x14ac:dyDescent="0.25">
      <c r="A7" s="22"/>
      <c r="B7" s="23"/>
      <c r="C7" s="23"/>
      <c r="D7" s="24"/>
      <c r="E7" s="25"/>
      <c r="F7" s="3" t="s">
        <v>128</v>
      </c>
      <c r="G7" s="3" t="s">
        <v>127</v>
      </c>
      <c r="H7" s="3" t="s">
        <v>126</v>
      </c>
      <c r="I7" s="3" t="s">
        <v>125</v>
      </c>
      <c r="J7" s="3" t="s">
        <v>124</v>
      </c>
    </row>
    <row r="8" spans="1:10" ht="14.45" x14ac:dyDescent="0.3">
      <c r="A8" s="147" t="s">
        <v>0</v>
      </c>
      <c r="B8" s="148"/>
      <c r="C8" s="148"/>
      <c r="D8" s="148"/>
      <c r="E8" s="149"/>
      <c r="F8" s="118">
        <f>F9+F10</f>
        <v>0</v>
      </c>
      <c r="G8" s="118">
        <f>G9+G10</f>
        <v>3338908.97</v>
      </c>
      <c r="H8" s="118">
        <f>H9+H10</f>
        <v>3945946.66</v>
      </c>
      <c r="I8" s="118">
        <f>I9+I10</f>
        <v>3954326.65</v>
      </c>
      <c r="J8" s="118">
        <f>J9+J10</f>
        <v>3963297.82</v>
      </c>
    </row>
    <row r="9" spans="1:10" ht="14.45" x14ac:dyDescent="0.3">
      <c r="A9" s="150" t="s">
        <v>137</v>
      </c>
      <c r="B9" s="151"/>
      <c r="C9" s="151"/>
      <c r="D9" s="151"/>
      <c r="E9" s="143"/>
      <c r="F9" s="117"/>
      <c r="G9" s="117">
        <v>3338908.97</v>
      </c>
      <c r="H9" s="117">
        <v>3945946.66</v>
      </c>
      <c r="I9" s="117">
        <v>3954326.65</v>
      </c>
      <c r="J9" s="117">
        <v>3963297.82</v>
      </c>
    </row>
    <row r="10" spans="1:10" ht="14.45" x14ac:dyDescent="0.3">
      <c r="A10" s="152" t="s">
        <v>136</v>
      </c>
      <c r="B10" s="143"/>
      <c r="C10" s="143"/>
      <c r="D10" s="143"/>
      <c r="E10" s="143"/>
      <c r="F10" s="117"/>
      <c r="G10" s="117"/>
      <c r="H10" s="117"/>
      <c r="I10" s="117"/>
      <c r="J10" s="117"/>
    </row>
    <row r="11" spans="1:10" ht="14.45" x14ac:dyDescent="0.3">
      <c r="A11" s="27" t="s">
        <v>1</v>
      </c>
      <c r="B11" s="91"/>
      <c r="C11" s="91"/>
      <c r="D11" s="91"/>
      <c r="E11" s="91"/>
      <c r="F11" s="118">
        <f>F12+F13</f>
        <v>0</v>
      </c>
      <c r="G11" s="118">
        <f>G12+G13</f>
        <v>3360308.11</v>
      </c>
      <c r="H11" s="118">
        <f>H12+H13</f>
        <v>3975248.6300000004</v>
      </c>
      <c r="I11" s="118">
        <f>I12+I13</f>
        <v>3954326.65</v>
      </c>
      <c r="J11" s="118">
        <f>J12+J13</f>
        <v>3963297.8200000003</v>
      </c>
    </row>
    <row r="12" spans="1:10" ht="14.45" x14ac:dyDescent="0.3">
      <c r="A12" s="153" t="s">
        <v>135</v>
      </c>
      <c r="B12" s="151"/>
      <c r="C12" s="151"/>
      <c r="D12" s="151"/>
      <c r="E12" s="151"/>
      <c r="F12" s="117"/>
      <c r="G12" s="117">
        <v>3275614.34</v>
      </c>
      <c r="H12" s="117">
        <v>3824928.45</v>
      </c>
      <c r="I12" s="117">
        <v>3808057.78</v>
      </c>
      <c r="J12" s="119">
        <v>3817028.95</v>
      </c>
    </row>
    <row r="13" spans="1:10" ht="14.45" x14ac:dyDescent="0.3">
      <c r="A13" s="142" t="s">
        <v>134</v>
      </c>
      <c r="B13" s="143"/>
      <c r="C13" s="143"/>
      <c r="D13" s="143"/>
      <c r="E13" s="143"/>
      <c r="F13" s="120"/>
      <c r="G13" s="120">
        <v>84693.77</v>
      </c>
      <c r="H13" s="120">
        <v>150320.18</v>
      </c>
      <c r="I13" s="120">
        <v>146268.87</v>
      </c>
      <c r="J13" s="119">
        <v>146268.87</v>
      </c>
    </row>
    <row r="14" spans="1:10" x14ac:dyDescent="0.25">
      <c r="A14" s="154" t="s">
        <v>2</v>
      </c>
      <c r="B14" s="148"/>
      <c r="C14" s="148"/>
      <c r="D14" s="148"/>
      <c r="E14" s="148"/>
      <c r="F14" s="118">
        <f>F8-F11</f>
        <v>0</v>
      </c>
      <c r="G14" s="118">
        <f>G8-G11</f>
        <v>-21399.139999999665</v>
      </c>
      <c r="H14" s="118">
        <f>H8-H11</f>
        <v>-29301.970000000205</v>
      </c>
      <c r="I14" s="118">
        <f>I8-I11</f>
        <v>0</v>
      </c>
      <c r="J14" s="118">
        <f>J8-J11</f>
        <v>0</v>
      </c>
    </row>
    <row r="15" spans="1:10" ht="17.45" x14ac:dyDescent="0.3">
      <c r="A15" s="19"/>
      <c r="B15" s="17"/>
      <c r="C15" s="17"/>
      <c r="D15" s="17"/>
      <c r="E15" s="17"/>
      <c r="F15" s="17"/>
      <c r="G15" s="17"/>
      <c r="H15" s="18"/>
      <c r="I15" s="18"/>
      <c r="J15" s="18"/>
    </row>
    <row r="16" spans="1:10" ht="15.75" x14ac:dyDescent="0.25">
      <c r="A16" s="144" t="s">
        <v>27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7.45" x14ac:dyDescent="0.3">
      <c r="A17" s="19"/>
      <c r="B17" s="17"/>
      <c r="C17" s="17"/>
      <c r="D17" s="17"/>
      <c r="E17" s="17"/>
      <c r="F17" s="17"/>
      <c r="G17" s="17"/>
      <c r="H17" s="18"/>
      <c r="I17" s="18"/>
      <c r="J17" s="18"/>
    </row>
    <row r="18" spans="1:10" ht="25.5" x14ac:dyDescent="0.25">
      <c r="A18" s="22"/>
      <c r="B18" s="23"/>
      <c r="C18" s="23"/>
      <c r="D18" s="24"/>
      <c r="E18" s="25"/>
      <c r="F18" s="3" t="s">
        <v>128</v>
      </c>
      <c r="G18" s="3" t="s">
        <v>127</v>
      </c>
      <c r="H18" s="3" t="s">
        <v>126</v>
      </c>
      <c r="I18" s="3" t="s">
        <v>125</v>
      </c>
      <c r="J18" s="3" t="s">
        <v>124</v>
      </c>
    </row>
    <row r="19" spans="1:10" x14ac:dyDescent="0.25">
      <c r="A19" s="142" t="s">
        <v>133</v>
      </c>
      <c r="B19" s="143"/>
      <c r="C19" s="143"/>
      <c r="D19" s="143"/>
      <c r="E19" s="143"/>
      <c r="F19" s="120"/>
      <c r="G19" s="120"/>
      <c r="H19" s="120"/>
      <c r="I19" s="120"/>
      <c r="J19" s="119"/>
    </row>
    <row r="20" spans="1:10" ht="14.45" x14ac:dyDescent="0.3">
      <c r="A20" s="142" t="s">
        <v>132</v>
      </c>
      <c r="B20" s="143"/>
      <c r="C20" s="143"/>
      <c r="D20" s="143"/>
      <c r="E20" s="143"/>
      <c r="F20" s="120"/>
      <c r="G20" s="120"/>
      <c r="H20" s="120"/>
      <c r="I20" s="120"/>
      <c r="J20" s="119"/>
    </row>
    <row r="21" spans="1:10" ht="14.45" x14ac:dyDescent="0.3">
      <c r="A21" s="154" t="s">
        <v>4</v>
      </c>
      <c r="B21" s="148"/>
      <c r="C21" s="148"/>
      <c r="D21" s="148"/>
      <c r="E21" s="148"/>
      <c r="F21" s="118">
        <f>F19-F20</f>
        <v>0</v>
      </c>
      <c r="G21" s="118">
        <f>G19-G20</f>
        <v>0</v>
      </c>
      <c r="H21" s="118">
        <f>H19-H20</f>
        <v>0</v>
      </c>
      <c r="I21" s="118">
        <f>I19-I20</f>
        <v>0</v>
      </c>
      <c r="J21" s="118">
        <f>J19-J20</f>
        <v>0</v>
      </c>
    </row>
    <row r="22" spans="1:10" x14ac:dyDescent="0.25">
      <c r="A22" s="154" t="s">
        <v>5</v>
      </c>
      <c r="B22" s="148"/>
      <c r="C22" s="148"/>
      <c r="D22" s="148"/>
      <c r="E22" s="148"/>
      <c r="F22" s="118">
        <f>F14+F21</f>
        <v>0</v>
      </c>
      <c r="G22" s="118">
        <f>G14+G21</f>
        <v>-21399.139999999665</v>
      </c>
      <c r="H22" s="118">
        <f>H14+H21</f>
        <v>-29301.970000000205</v>
      </c>
      <c r="I22" s="118">
        <f>I14+I21</f>
        <v>0</v>
      </c>
      <c r="J22" s="118">
        <f>J14+J21</f>
        <v>0</v>
      </c>
    </row>
    <row r="23" spans="1:10" ht="17.45" x14ac:dyDescent="0.3">
      <c r="A23" s="16"/>
      <c r="B23" s="17"/>
      <c r="C23" s="17"/>
      <c r="D23" s="17"/>
      <c r="E23" s="17"/>
      <c r="F23" s="17"/>
      <c r="G23" s="17"/>
      <c r="H23" s="18"/>
      <c r="I23" s="18"/>
      <c r="J23" s="18"/>
    </row>
    <row r="24" spans="1:10" ht="15.75" x14ac:dyDescent="0.25">
      <c r="A24" s="144" t="s">
        <v>131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5.6" x14ac:dyDescent="0.3">
      <c r="A25" s="89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25.5" x14ac:dyDescent="0.25">
      <c r="A26" s="22"/>
      <c r="B26" s="23"/>
      <c r="C26" s="23"/>
      <c r="D26" s="24"/>
      <c r="E26" s="25"/>
      <c r="F26" s="3" t="s">
        <v>128</v>
      </c>
      <c r="G26" s="3" t="s">
        <v>127</v>
      </c>
      <c r="H26" s="3" t="s">
        <v>126</v>
      </c>
      <c r="I26" s="3" t="s">
        <v>125</v>
      </c>
      <c r="J26" s="3" t="s">
        <v>124</v>
      </c>
    </row>
    <row r="27" spans="1:10" ht="15" customHeight="1" x14ac:dyDescent="0.25">
      <c r="A27" s="157" t="s">
        <v>123</v>
      </c>
      <c r="B27" s="158"/>
      <c r="C27" s="158"/>
      <c r="D27" s="158"/>
      <c r="E27" s="159"/>
      <c r="F27" s="121">
        <v>0</v>
      </c>
      <c r="G27" s="121">
        <v>21399.14</v>
      </c>
      <c r="H27" s="121">
        <v>29301.97</v>
      </c>
      <c r="I27" s="121">
        <v>0</v>
      </c>
      <c r="J27" s="122">
        <v>0</v>
      </c>
    </row>
    <row r="28" spans="1:10" ht="15" customHeight="1" x14ac:dyDescent="0.25">
      <c r="A28" s="154" t="s">
        <v>121</v>
      </c>
      <c r="B28" s="148"/>
      <c r="C28" s="148"/>
      <c r="D28" s="148"/>
      <c r="E28" s="148"/>
      <c r="F28" s="123">
        <f>F22+F27</f>
        <v>0</v>
      </c>
      <c r="G28" s="123">
        <f>G22+G27</f>
        <v>3.3469405025243759E-10</v>
      </c>
      <c r="H28" s="123">
        <f>H22+H27</f>
        <v>-2.0372681319713593E-10</v>
      </c>
      <c r="I28" s="123">
        <f>I22+I27</f>
        <v>0</v>
      </c>
      <c r="J28" s="124">
        <f>J22+J27</f>
        <v>0</v>
      </c>
    </row>
    <row r="29" spans="1:10" ht="45" customHeight="1" x14ac:dyDescent="0.25">
      <c r="A29" s="147" t="s">
        <v>130</v>
      </c>
      <c r="B29" s="160"/>
      <c r="C29" s="160"/>
      <c r="D29" s="160"/>
      <c r="E29" s="161"/>
      <c r="F29" s="123">
        <f>F14+F21+F27-F28</f>
        <v>0</v>
      </c>
      <c r="G29" s="123">
        <f>G14+G21+G27-G28</f>
        <v>0</v>
      </c>
      <c r="H29" s="123">
        <f>H14+H21+H27-H28</f>
        <v>0</v>
      </c>
      <c r="I29" s="123">
        <f>I14+I21+I27-I28</f>
        <v>0</v>
      </c>
      <c r="J29" s="124">
        <f>J14+J21+J27-J28</f>
        <v>0</v>
      </c>
    </row>
    <row r="30" spans="1:10" ht="15.6" x14ac:dyDescent="0.3">
      <c r="A30" s="101"/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15.75" x14ac:dyDescent="0.25">
      <c r="A31" s="162" t="s">
        <v>129</v>
      </c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0" ht="17.45" x14ac:dyDescent="0.3">
      <c r="A32" s="99"/>
      <c r="B32" s="98"/>
      <c r="C32" s="98"/>
      <c r="D32" s="98"/>
      <c r="E32" s="98"/>
      <c r="F32" s="98"/>
      <c r="G32" s="98"/>
      <c r="H32" s="97"/>
      <c r="I32" s="97"/>
      <c r="J32" s="97"/>
    </row>
    <row r="33" spans="1:10" ht="25.5" x14ac:dyDescent="0.25">
      <c r="A33" s="96"/>
      <c r="B33" s="95"/>
      <c r="C33" s="95"/>
      <c r="D33" s="94"/>
      <c r="E33" s="93"/>
      <c r="F33" s="92" t="s">
        <v>128</v>
      </c>
      <c r="G33" s="92" t="s">
        <v>127</v>
      </c>
      <c r="H33" s="92" t="s">
        <v>126</v>
      </c>
      <c r="I33" s="92" t="s">
        <v>125</v>
      </c>
      <c r="J33" s="92" t="s">
        <v>124</v>
      </c>
    </row>
    <row r="34" spans="1:10" x14ac:dyDescent="0.25">
      <c r="A34" s="157" t="s">
        <v>123</v>
      </c>
      <c r="B34" s="158"/>
      <c r="C34" s="158"/>
      <c r="D34" s="158"/>
      <c r="E34" s="159"/>
      <c r="F34" s="121">
        <v>0</v>
      </c>
      <c r="G34" s="121">
        <f>F37</f>
        <v>0</v>
      </c>
      <c r="H34" s="121">
        <f>G37</f>
        <v>0</v>
      </c>
      <c r="I34" s="121">
        <f>H37</f>
        <v>0</v>
      </c>
      <c r="J34" s="122">
        <f>I37</f>
        <v>0</v>
      </c>
    </row>
    <row r="35" spans="1:10" ht="28.5" customHeight="1" x14ac:dyDescent="0.25">
      <c r="A35" s="157" t="s">
        <v>3</v>
      </c>
      <c r="B35" s="158"/>
      <c r="C35" s="158"/>
      <c r="D35" s="158"/>
      <c r="E35" s="159"/>
      <c r="F35" s="121">
        <v>0</v>
      </c>
      <c r="G35" s="121">
        <v>0</v>
      </c>
      <c r="H35" s="121">
        <v>0</v>
      </c>
      <c r="I35" s="121">
        <v>0</v>
      </c>
      <c r="J35" s="122">
        <v>0</v>
      </c>
    </row>
    <row r="36" spans="1:10" x14ac:dyDescent="0.25">
      <c r="A36" s="157" t="s">
        <v>122</v>
      </c>
      <c r="B36" s="163"/>
      <c r="C36" s="163"/>
      <c r="D36" s="163"/>
      <c r="E36" s="164"/>
      <c r="F36" s="121">
        <v>0</v>
      </c>
      <c r="G36" s="121">
        <v>0</v>
      </c>
      <c r="H36" s="121">
        <v>0</v>
      </c>
      <c r="I36" s="121">
        <v>0</v>
      </c>
      <c r="J36" s="122">
        <v>0</v>
      </c>
    </row>
    <row r="37" spans="1:10" ht="15" customHeight="1" x14ac:dyDescent="0.25">
      <c r="A37" s="154" t="s">
        <v>121</v>
      </c>
      <c r="B37" s="148"/>
      <c r="C37" s="148"/>
      <c r="D37" s="148"/>
      <c r="E37" s="148"/>
      <c r="F37" s="125">
        <f>F34-F35+F36</f>
        <v>0</v>
      </c>
      <c r="G37" s="125">
        <f>G34-G35+G36</f>
        <v>0</v>
      </c>
      <c r="H37" s="125">
        <f>H34-H35+H36</f>
        <v>0</v>
      </c>
      <c r="I37" s="125">
        <f>I34-I35+I36</f>
        <v>0</v>
      </c>
      <c r="J37" s="126">
        <f>J34-J35+J36</f>
        <v>0</v>
      </c>
    </row>
    <row r="38" spans="1:10" ht="17.25" customHeight="1" x14ac:dyDescent="0.25"/>
    <row r="39" spans="1:10" x14ac:dyDescent="0.25">
      <c r="A39" s="155" t="s">
        <v>120</v>
      </c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0" ht="9" customHeight="1" x14ac:dyDescent="0.25"/>
    <row r="44" spans="1:10" ht="24.95" customHeight="1" x14ac:dyDescent="0.25">
      <c r="A44" s="155" t="s">
        <v>28</v>
      </c>
      <c r="B44" s="156"/>
      <c r="C44" s="156"/>
      <c r="D44" s="156"/>
      <c r="E44" s="156"/>
      <c r="F44" s="156"/>
      <c r="G44" s="156"/>
      <c r="H44" s="156"/>
    </row>
  </sheetData>
  <mergeCells count="25">
    <mergeCell ref="A44:H44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7:E37"/>
    <mergeCell ref="A36:E36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140" zoomScaleNormal="140" workbookViewId="0">
      <selection activeCell="J29" sqref="J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7109375" bestFit="1" customWidth="1"/>
    <col min="4" max="4" width="26.7109375" customWidth="1"/>
    <col min="5" max="8" width="25.28515625" customWidth="1"/>
  </cols>
  <sheetData>
    <row r="1" spans="1:9" ht="42" customHeight="1" x14ac:dyDescent="0.25">
      <c r="A1" s="144" t="s">
        <v>145</v>
      </c>
      <c r="B1" s="144"/>
      <c r="C1" s="144"/>
      <c r="D1" s="144"/>
      <c r="E1" s="144"/>
      <c r="F1" s="144"/>
      <c r="G1" s="144"/>
      <c r="H1" s="144"/>
    </row>
    <row r="2" spans="1:9" ht="18" customHeight="1" x14ac:dyDescent="0.3">
      <c r="A2" s="4"/>
      <c r="B2" s="4"/>
      <c r="C2" s="4"/>
      <c r="D2" s="4"/>
      <c r="E2" s="19"/>
      <c r="F2" s="4"/>
      <c r="G2" s="4"/>
      <c r="H2" s="4"/>
    </row>
    <row r="3" spans="1:9" ht="15.75" x14ac:dyDescent="0.25">
      <c r="A3" s="144" t="s">
        <v>21</v>
      </c>
      <c r="B3" s="144"/>
      <c r="C3" s="144"/>
      <c r="D3" s="144"/>
      <c r="E3" s="144"/>
      <c r="F3" s="144"/>
      <c r="G3" s="145"/>
      <c r="H3" s="145"/>
    </row>
    <row r="4" spans="1:9" ht="17.45" x14ac:dyDescent="0.3">
      <c r="A4" s="4"/>
      <c r="B4" s="4"/>
      <c r="C4" s="4"/>
      <c r="D4" s="4"/>
      <c r="E4" s="19"/>
      <c r="F4" s="4"/>
      <c r="G4" s="5"/>
      <c r="H4" s="5"/>
    </row>
    <row r="5" spans="1:9" ht="18" customHeight="1" x14ac:dyDescent="0.25">
      <c r="A5" s="144" t="s">
        <v>7</v>
      </c>
      <c r="B5" s="146"/>
      <c r="C5" s="146"/>
      <c r="D5" s="146"/>
      <c r="E5" s="146"/>
      <c r="F5" s="146"/>
      <c r="G5" s="146"/>
      <c r="H5" s="146"/>
    </row>
    <row r="6" spans="1:9" ht="17.45" x14ac:dyDescent="0.3">
      <c r="A6" s="4"/>
      <c r="B6" s="4"/>
      <c r="C6" s="4"/>
      <c r="D6" s="4"/>
      <c r="E6" s="19"/>
      <c r="F6" s="4"/>
      <c r="G6" s="5"/>
      <c r="H6" s="5"/>
    </row>
    <row r="7" spans="1:9" ht="15.6" x14ac:dyDescent="0.3">
      <c r="A7" s="144" t="s">
        <v>172</v>
      </c>
      <c r="B7" s="165"/>
      <c r="C7" s="165"/>
      <c r="D7" s="165"/>
      <c r="E7" s="165"/>
      <c r="F7" s="165"/>
      <c r="G7" s="165"/>
      <c r="H7" s="165"/>
    </row>
    <row r="8" spans="1:9" ht="17.45" x14ac:dyDescent="0.3">
      <c r="A8" s="4"/>
      <c r="B8" s="4"/>
      <c r="C8" s="4"/>
      <c r="D8" s="4"/>
      <c r="E8" s="56">
        <f>E10+E46</f>
        <v>3367770.4000000004</v>
      </c>
      <c r="F8" s="56">
        <f>F10+F46</f>
        <v>3975248.63</v>
      </c>
      <c r="G8" s="56">
        <f>G10+G46</f>
        <v>3954326.6500000004</v>
      </c>
      <c r="H8" s="56">
        <f>H10+H46</f>
        <v>3963297.82</v>
      </c>
      <c r="I8" s="42"/>
    </row>
    <row r="9" spans="1:9" ht="26.45" x14ac:dyDescent="0.3">
      <c r="A9" s="15" t="s">
        <v>8</v>
      </c>
      <c r="B9" s="14" t="s">
        <v>9</v>
      </c>
      <c r="C9" s="14" t="s">
        <v>10</v>
      </c>
      <c r="D9" s="14" t="s">
        <v>6</v>
      </c>
      <c r="E9" s="15" t="s">
        <v>146</v>
      </c>
      <c r="F9" s="15" t="s">
        <v>140</v>
      </c>
      <c r="G9" s="15" t="s">
        <v>29</v>
      </c>
      <c r="H9" s="15" t="s">
        <v>141</v>
      </c>
    </row>
    <row r="10" spans="1:9" ht="15.75" customHeight="1" x14ac:dyDescent="0.3">
      <c r="A10" s="43">
        <v>6</v>
      </c>
      <c r="B10" s="43"/>
      <c r="C10" s="43"/>
      <c r="D10" s="43" t="s">
        <v>11</v>
      </c>
      <c r="E10" s="64">
        <f>E11+E14+E16+E18+E21+E23</f>
        <v>3338908.97</v>
      </c>
      <c r="F10" s="64">
        <f>F11+F14+F16+F18+F21+F23</f>
        <v>3945946.6599999997</v>
      </c>
      <c r="G10" s="64">
        <f>G11+G14+G16+G18+G21+G23</f>
        <v>3954326.6500000004</v>
      </c>
      <c r="H10" s="64">
        <f>H11+H14+H16+H18+H21+H23</f>
        <v>3963297.82</v>
      </c>
    </row>
    <row r="11" spans="1:9" ht="38.25" x14ac:dyDescent="0.25">
      <c r="A11" s="30"/>
      <c r="B11" s="31">
        <v>63</v>
      </c>
      <c r="C11" s="31"/>
      <c r="D11" s="31" t="s">
        <v>30</v>
      </c>
      <c r="E11" s="52">
        <f>SUM(E12:E13)</f>
        <v>2800946.3</v>
      </c>
      <c r="F11" s="52">
        <f>SUM(F12:F13)</f>
        <v>3279102.0899999994</v>
      </c>
      <c r="G11" s="52">
        <f>SUM(G12:G13)</f>
        <v>3285053.11</v>
      </c>
      <c r="H11" s="52">
        <f>SUM(H12:H13)</f>
        <v>3291033.8899999997</v>
      </c>
    </row>
    <row r="12" spans="1:9" x14ac:dyDescent="0.25">
      <c r="A12" s="10"/>
      <c r="B12" s="10"/>
      <c r="C12" s="11">
        <v>57</v>
      </c>
      <c r="D12" s="11" t="s">
        <v>44</v>
      </c>
      <c r="E12" s="48">
        <v>2708438.38</v>
      </c>
      <c r="F12" s="48">
        <f>1456.37+663.61+900+200+1040+464.53+270000+15000+75000+1327.23+1581.11+2200000+14851.01+142173.11+1925.25+360000+2450.42+55000+1076.3+6440+1300</f>
        <v>3152848.9399999995</v>
      </c>
      <c r="G12" s="48">
        <f>3152848.94+5951.02</f>
        <v>3158799.96</v>
      </c>
      <c r="H12" s="48">
        <f>3158799.96+5980.78</f>
        <v>3164780.7399999998</v>
      </c>
    </row>
    <row r="13" spans="1:9" ht="14.45" x14ac:dyDescent="0.3">
      <c r="A13" s="10"/>
      <c r="B13" s="10"/>
      <c r="C13" s="11">
        <v>5402</v>
      </c>
      <c r="D13" s="11" t="s">
        <v>49</v>
      </c>
      <c r="E13" s="48">
        <v>92507.92</v>
      </c>
      <c r="F13" s="48">
        <f>11202.9+84155.71+10909.75+13885.73+6099.06</f>
        <v>126253.15</v>
      </c>
      <c r="G13" s="48">
        <v>126253.15</v>
      </c>
      <c r="H13" s="48">
        <v>126253.15</v>
      </c>
    </row>
    <row r="14" spans="1:9" ht="14.45" x14ac:dyDescent="0.3">
      <c r="A14" s="32"/>
      <c r="B14" s="32">
        <v>64</v>
      </c>
      <c r="C14" s="33"/>
      <c r="D14" s="32" t="s">
        <v>33</v>
      </c>
      <c r="E14" s="52">
        <f>E15</f>
        <v>92.9</v>
      </c>
      <c r="F14" s="52">
        <f>F15</f>
        <v>92.9</v>
      </c>
      <c r="G14" s="52">
        <f t="shared" ref="G14:H14" si="0">G15</f>
        <v>92.9</v>
      </c>
      <c r="H14" s="52">
        <f t="shared" si="0"/>
        <v>92.9</v>
      </c>
    </row>
    <row r="15" spans="1:9" ht="14.45" x14ac:dyDescent="0.3">
      <c r="A15" s="10"/>
      <c r="B15" s="10"/>
      <c r="C15" s="11">
        <v>31</v>
      </c>
      <c r="D15" s="11" t="s">
        <v>45</v>
      </c>
      <c r="E15" s="48">
        <v>92.9</v>
      </c>
      <c r="F15" s="48">
        <f>26.54+66.36</f>
        <v>92.9</v>
      </c>
      <c r="G15" s="48">
        <v>92.9</v>
      </c>
      <c r="H15" s="48">
        <v>92.9</v>
      </c>
    </row>
    <row r="16" spans="1:9" ht="58.5" customHeight="1" x14ac:dyDescent="0.3">
      <c r="A16" s="32"/>
      <c r="B16" s="32">
        <v>65</v>
      </c>
      <c r="C16" s="33"/>
      <c r="D16" s="34" t="s">
        <v>34</v>
      </c>
      <c r="E16" s="52">
        <f>E17</f>
        <v>92654.45</v>
      </c>
      <c r="F16" s="52">
        <f>F17</f>
        <v>92030.89</v>
      </c>
      <c r="G16" s="52">
        <f t="shared" ref="G16:H16" si="1">G17</f>
        <v>92030.89</v>
      </c>
      <c r="H16" s="52">
        <f t="shared" si="1"/>
        <v>92030.89</v>
      </c>
    </row>
    <row r="17" spans="1:8" ht="14.45" x14ac:dyDescent="0.3">
      <c r="A17" s="10"/>
      <c r="B17" s="10"/>
      <c r="C17" s="11">
        <v>41</v>
      </c>
      <c r="D17" s="11" t="s">
        <v>43</v>
      </c>
      <c r="E17" s="48">
        <v>92654.45</v>
      </c>
      <c r="F17" s="48">
        <f>2000+530.89+89500</f>
        <v>92030.89</v>
      </c>
      <c r="G17" s="48">
        <v>92030.89</v>
      </c>
      <c r="H17" s="48">
        <v>92030.89</v>
      </c>
    </row>
    <row r="18" spans="1:8" ht="38.25" x14ac:dyDescent="0.25">
      <c r="A18" s="32"/>
      <c r="B18" s="32">
        <v>66</v>
      </c>
      <c r="C18" s="33"/>
      <c r="D18" s="34" t="s">
        <v>39</v>
      </c>
      <c r="E18" s="52">
        <f>SUM(E19:E20)</f>
        <v>7278.09</v>
      </c>
      <c r="F18" s="52">
        <f>SUM(F19:F20)</f>
        <v>4528.24</v>
      </c>
      <c r="G18" s="52">
        <f>SUM(G19:G20)</f>
        <v>3981.7</v>
      </c>
      <c r="H18" s="52">
        <f>SUM(H19:H20)</f>
        <v>3981.7</v>
      </c>
    </row>
    <row r="19" spans="1:8" ht="14.45" x14ac:dyDescent="0.3">
      <c r="A19" s="10"/>
      <c r="B19" s="10"/>
      <c r="C19" s="11">
        <v>31</v>
      </c>
      <c r="D19" s="11" t="s">
        <v>45</v>
      </c>
      <c r="E19" s="48">
        <v>3450.81</v>
      </c>
      <c r="F19" s="48">
        <f>796.35+2654.46</f>
        <v>3450.81</v>
      </c>
      <c r="G19" s="48">
        <v>3450.81</v>
      </c>
      <c r="H19" s="48">
        <v>3450.81</v>
      </c>
    </row>
    <row r="20" spans="1:8" x14ac:dyDescent="0.25">
      <c r="A20" s="10"/>
      <c r="B20" s="10"/>
      <c r="C20" s="11">
        <v>6103</v>
      </c>
      <c r="D20" s="11" t="s">
        <v>46</v>
      </c>
      <c r="E20" s="48">
        <v>3827.28</v>
      </c>
      <c r="F20" s="48">
        <f>530.89+26.54+520</f>
        <v>1077.4299999999998</v>
      </c>
      <c r="G20" s="48">
        <f>530.89</f>
        <v>530.89</v>
      </c>
      <c r="H20" s="48">
        <f>530.89</f>
        <v>530.89</v>
      </c>
    </row>
    <row r="21" spans="1:8" ht="38.25" x14ac:dyDescent="0.25">
      <c r="A21" s="32"/>
      <c r="B21" s="32">
        <v>67</v>
      </c>
      <c r="C21" s="33"/>
      <c r="D21" s="31" t="s">
        <v>31</v>
      </c>
      <c r="E21" s="52">
        <f>E22</f>
        <v>437804.51</v>
      </c>
      <c r="F21" s="52">
        <f>F22</f>
        <v>570059.82000000007</v>
      </c>
      <c r="G21" s="52">
        <f t="shared" ref="G21:H21" si="2">G22</f>
        <v>573035.32999999996</v>
      </c>
      <c r="H21" s="52">
        <f t="shared" si="2"/>
        <v>576025.72</v>
      </c>
    </row>
    <row r="22" spans="1:8" x14ac:dyDescent="0.25">
      <c r="A22" s="10"/>
      <c r="B22" s="10"/>
      <c r="C22" s="11">
        <v>11</v>
      </c>
      <c r="D22" s="11" t="s">
        <v>12</v>
      </c>
      <c r="E22" s="48">
        <v>437804.51</v>
      </c>
      <c r="F22" s="48">
        <f>2000+62189.92+27000+45000+40818.07+11500+398.17+4937.37+16000+750+90000+71993+1000+1266.24+17471.78+118821.96+24088.8+6537.42+900+2265+19605.6+2882.85+722.28+1433.52+477.84</f>
        <v>570059.82000000007</v>
      </c>
      <c r="G22" s="48">
        <f>570059.82+2975.51</f>
        <v>573035.32999999996</v>
      </c>
      <c r="H22" s="48">
        <f>573035.33+2990.39</f>
        <v>576025.72</v>
      </c>
    </row>
    <row r="23" spans="1:8" ht="25.5" x14ac:dyDescent="0.25">
      <c r="A23" s="32"/>
      <c r="B23" s="32">
        <v>68</v>
      </c>
      <c r="C23" s="33"/>
      <c r="D23" s="34" t="s">
        <v>35</v>
      </c>
      <c r="E23" s="52">
        <f>E24</f>
        <v>132.72</v>
      </c>
      <c r="F23" s="52">
        <f>F24</f>
        <v>132.72</v>
      </c>
      <c r="G23" s="52">
        <f t="shared" ref="G23:H23" si="3">G24</f>
        <v>132.72</v>
      </c>
      <c r="H23" s="52">
        <f t="shared" si="3"/>
        <v>132.72</v>
      </c>
    </row>
    <row r="24" spans="1:8" x14ac:dyDescent="0.25">
      <c r="A24" s="10"/>
      <c r="B24" s="10"/>
      <c r="C24" s="11">
        <v>31</v>
      </c>
      <c r="D24" s="11" t="s">
        <v>45</v>
      </c>
      <c r="E24" s="48">
        <v>132.72</v>
      </c>
      <c r="F24" s="48">
        <v>132.72</v>
      </c>
      <c r="G24" s="48">
        <v>132.72</v>
      </c>
      <c r="H24" s="48">
        <v>132.72</v>
      </c>
    </row>
    <row r="25" spans="1:8" x14ac:dyDescent="0.25">
      <c r="A25" s="45"/>
      <c r="B25" s="45"/>
      <c r="C25" s="46"/>
      <c r="D25" s="46"/>
      <c r="E25" s="127"/>
      <c r="F25" s="127"/>
      <c r="G25" s="127"/>
      <c r="H25" s="127"/>
    </row>
    <row r="26" spans="1:8" x14ac:dyDescent="0.25">
      <c r="A26" s="45"/>
      <c r="B26" s="45"/>
      <c r="C26" s="46"/>
      <c r="D26" s="46"/>
      <c r="E26" s="127"/>
      <c r="F26" s="127"/>
      <c r="G26" s="127"/>
      <c r="H26" s="127"/>
    </row>
    <row r="27" spans="1:8" ht="15.75" x14ac:dyDescent="0.25">
      <c r="A27" s="144" t="s">
        <v>174</v>
      </c>
      <c r="B27" s="165"/>
      <c r="C27" s="165"/>
      <c r="D27" s="165"/>
      <c r="E27" s="165"/>
      <c r="F27" s="165"/>
      <c r="G27" s="165"/>
    </row>
    <row r="28" spans="1:8" x14ac:dyDescent="0.25">
      <c r="A28" s="45"/>
      <c r="B28" s="45"/>
      <c r="C28" s="46"/>
      <c r="D28" s="46"/>
      <c r="E28" s="47"/>
      <c r="F28" s="47"/>
      <c r="G28" s="42"/>
    </row>
    <row r="29" spans="1:8" ht="25.5" x14ac:dyDescent="0.25">
      <c r="A29" s="15" t="s">
        <v>8</v>
      </c>
      <c r="B29" s="14" t="s">
        <v>9</v>
      </c>
      <c r="C29" s="14" t="s">
        <v>10</v>
      </c>
      <c r="D29" s="14" t="s">
        <v>13</v>
      </c>
      <c r="E29" s="15" t="s">
        <v>146</v>
      </c>
      <c r="F29" s="15" t="s">
        <v>140</v>
      </c>
      <c r="G29" s="15" t="s">
        <v>29</v>
      </c>
      <c r="H29" s="15" t="s">
        <v>141</v>
      </c>
    </row>
    <row r="30" spans="1:8" x14ac:dyDescent="0.25">
      <c r="A30" s="37">
        <v>9</v>
      </c>
      <c r="B30" s="37"/>
      <c r="C30" s="37"/>
      <c r="D30" s="37" t="s">
        <v>84</v>
      </c>
      <c r="E30" s="38"/>
      <c r="F30" s="38"/>
      <c r="G30" s="38"/>
      <c r="H30" s="38"/>
    </row>
    <row r="31" spans="1:8" x14ac:dyDescent="0.25">
      <c r="A31" s="30"/>
      <c r="B31" s="31">
        <v>92</v>
      </c>
      <c r="C31" s="31"/>
      <c r="D31" s="31" t="s">
        <v>151</v>
      </c>
      <c r="E31" s="52">
        <f>SUM(E32:E38)</f>
        <v>7462.29</v>
      </c>
      <c r="F31" s="52">
        <v>0</v>
      </c>
      <c r="G31" s="52">
        <v>0</v>
      </c>
      <c r="H31" s="52">
        <v>0</v>
      </c>
    </row>
    <row r="32" spans="1:8" x14ac:dyDescent="0.25">
      <c r="A32" s="10"/>
      <c r="B32" s="10"/>
      <c r="C32" s="11">
        <v>11</v>
      </c>
      <c r="D32" s="11" t="s">
        <v>12</v>
      </c>
      <c r="E32" s="48">
        <v>1047.18</v>
      </c>
      <c r="F32" s="48"/>
      <c r="G32" s="48"/>
      <c r="H32" s="48"/>
    </row>
    <row r="33" spans="1:8" x14ac:dyDescent="0.25">
      <c r="A33" s="10"/>
      <c r="B33" s="10"/>
      <c r="C33" s="11">
        <v>6103</v>
      </c>
      <c r="D33" s="11" t="s">
        <v>46</v>
      </c>
      <c r="E33" s="48">
        <v>53.09</v>
      </c>
      <c r="F33" s="48"/>
      <c r="G33" s="48"/>
      <c r="H33" s="48"/>
    </row>
    <row r="34" spans="1:8" x14ac:dyDescent="0.25">
      <c r="A34" s="10"/>
      <c r="B34" s="10"/>
      <c r="C34" s="11">
        <v>57</v>
      </c>
      <c r="D34" s="11" t="s">
        <v>152</v>
      </c>
      <c r="E34" s="48">
        <v>668.53</v>
      </c>
      <c r="F34" s="48"/>
      <c r="G34" s="48"/>
      <c r="H34" s="48"/>
    </row>
    <row r="35" spans="1:8" x14ac:dyDescent="0.25">
      <c r="A35" s="10"/>
      <c r="B35" s="10"/>
      <c r="C35" s="11">
        <v>5402</v>
      </c>
      <c r="D35" s="11" t="s">
        <v>153</v>
      </c>
      <c r="E35" s="48">
        <v>3788.35</v>
      </c>
      <c r="F35" s="48"/>
      <c r="G35" s="48"/>
      <c r="H35" s="48"/>
    </row>
    <row r="36" spans="1:8" x14ac:dyDescent="0.25">
      <c r="A36" s="10"/>
      <c r="B36" s="10"/>
      <c r="C36" s="11">
        <v>57</v>
      </c>
      <c r="D36" s="11" t="s">
        <v>44</v>
      </c>
      <c r="E36" s="48">
        <v>77.78</v>
      </c>
      <c r="F36" s="48"/>
      <c r="G36" s="48"/>
      <c r="H36" s="48"/>
    </row>
    <row r="37" spans="1:8" x14ac:dyDescent="0.25">
      <c r="A37" s="10"/>
      <c r="B37" s="10"/>
      <c r="C37" s="11">
        <v>57</v>
      </c>
      <c r="D37" s="11" t="s">
        <v>154</v>
      </c>
      <c r="E37" s="48">
        <v>87.02</v>
      </c>
      <c r="F37" s="48"/>
      <c r="G37" s="48"/>
      <c r="H37" s="48"/>
    </row>
    <row r="38" spans="1:8" x14ac:dyDescent="0.25">
      <c r="A38" s="10"/>
      <c r="B38" s="10"/>
      <c r="C38" s="11">
        <v>5402</v>
      </c>
      <c r="D38" s="11" t="s">
        <v>155</v>
      </c>
      <c r="E38" s="48">
        <v>1740.34</v>
      </c>
      <c r="F38" s="48"/>
      <c r="G38" s="8"/>
      <c r="H38" s="8"/>
    </row>
    <row r="39" spans="1:8" x14ac:dyDescent="0.25">
      <c r="A39" s="45"/>
      <c r="B39" s="45"/>
      <c r="C39" s="46"/>
      <c r="D39" s="46"/>
      <c r="E39" s="127"/>
      <c r="F39" s="127"/>
      <c r="G39" s="127"/>
      <c r="H39" s="127"/>
    </row>
    <row r="40" spans="1:8" x14ac:dyDescent="0.25">
      <c r="A40" s="45"/>
      <c r="B40" s="45"/>
      <c r="C40" s="46"/>
      <c r="D40" s="46"/>
      <c r="E40" s="127"/>
      <c r="F40" s="127"/>
      <c r="G40" s="127"/>
      <c r="H40" s="127"/>
    </row>
    <row r="41" spans="1:8" x14ac:dyDescent="0.25">
      <c r="A41" s="45"/>
      <c r="B41" s="45"/>
      <c r="C41" s="46"/>
      <c r="D41" s="46"/>
      <c r="E41" s="47"/>
      <c r="F41" s="47"/>
      <c r="G41" s="47"/>
      <c r="H41" s="47"/>
    </row>
    <row r="42" spans="1:8" ht="15.75" x14ac:dyDescent="0.25">
      <c r="A42" s="144" t="s">
        <v>87</v>
      </c>
      <c r="B42" s="165"/>
      <c r="C42" s="165"/>
      <c r="D42" s="165"/>
      <c r="E42" s="165"/>
      <c r="F42" s="165"/>
      <c r="G42" s="165"/>
      <c r="H42" s="165"/>
    </row>
    <row r="43" spans="1:8" x14ac:dyDescent="0.25">
      <c r="A43" s="45"/>
      <c r="B43" s="45"/>
      <c r="C43" s="46"/>
      <c r="D43" s="46"/>
      <c r="E43" s="47"/>
      <c r="F43" s="47"/>
      <c r="G43" s="47"/>
      <c r="H43" s="42"/>
    </row>
    <row r="44" spans="1:8" ht="25.5" x14ac:dyDescent="0.25">
      <c r="A44" s="15" t="s">
        <v>8</v>
      </c>
      <c r="B44" s="14" t="s">
        <v>9</v>
      </c>
      <c r="C44" s="14" t="s">
        <v>10</v>
      </c>
      <c r="D44" s="14" t="s">
        <v>13</v>
      </c>
      <c r="E44" s="15" t="s">
        <v>146</v>
      </c>
      <c r="F44" s="15" t="s">
        <v>140</v>
      </c>
      <c r="G44" s="15" t="s">
        <v>29</v>
      </c>
      <c r="H44" s="15" t="s">
        <v>141</v>
      </c>
    </row>
    <row r="45" spans="1:8" x14ac:dyDescent="0.25">
      <c r="A45" s="37">
        <v>9</v>
      </c>
      <c r="B45" s="37"/>
      <c r="C45" s="37"/>
      <c r="D45" s="37" t="s">
        <v>84</v>
      </c>
      <c r="E45" s="38"/>
      <c r="F45" s="38"/>
      <c r="G45" s="38"/>
      <c r="H45" s="38"/>
    </row>
    <row r="46" spans="1:8" x14ac:dyDescent="0.25">
      <c r="A46" s="30"/>
      <c r="B46" s="31">
        <v>92</v>
      </c>
      <c r="C46" s="31"/>
      <c r="D46" s="31" t="s">
        <v>85</v>
      </c>
      <c r="E46" s="52">
        <f>SUM(E47:E52)</f>
        <v>28861.43</v>
      </c>
      <c r="F46" s="52">
        <f>SUM(F47:F52)</f>
        <v>29301.97</v>
      </c>
      <c r="G46" s="52">
        <v>0</v>
      </c>
      <c r="H46" s="52">
        <v>0</v>
      </c>
    </row>
    <row r="47" spans="1:8" x14ac:dyDescent="0.25">
      <c r="A47" s="10"/>
      <c r="B47" s="10"/>
      <c r="C47" s="11">
        <v>9231</v>
      </c>
      <c r="D47" s="11" t="s">
        <v>81</v>
      </c>
      <c r="E47" s="48">
        <v>3511.45</v>
      </c>
      <c r="F47" s="48">
        <f>1939.14+400</f>
        <v>2339.1400000000003</v>
      </c>
      <c r="G47" s="48"/>
      <c r="H47" s="48"/>
    </row>
    <row r="48" spans="1:8" x14ac:dyDescent="0.25">
      <c r="A48" s="10"/>
      <c r="B48" s="10"/>
      <c r="C48" s="11">
        <v>9241</v>
      </c>
      <c r="D48" s="11" t="s">
        <v>43</v>
      </c>
      <c r="E48" s="48">
        <v>7038.04</v>
      </c>
      <c r="F48" s="48">
        <v>2500</v>
      </c>
      <c r="G48" s="48"/>
      <c r="H48" s="48"/>
    </row>
    <row r="49" spans="1:9" x14ac:dyDescent="0.25">
      <c r="A49" s="10"/>
      <c r="B49" s="10"/>
      <c r="C49" s="11">
        <v>92530</v>
      </c>
      <c r="D49" s="11" t="s">
        <v>48</v>
      </c>
      <c r="E49" s="48">
        <v>12664.29</v>
      </c>
      <c r="F49" s="48">
        <v>19417.68</v>
      </c>
      <c r="G49" s="48"/>
      <c r="H49" s="48"/>
    </row>
    <row r="50" spans="1:9" x14ac:dyDescent="0.25">
      <c r="A50" s="10"/>
      <c r="B50" s="10"/>
      <c r="C50" s="11">
        <v>925401</v>
      </c>
      <c r="D50" s="11" t="s">
        <v>149</v>
      </c>
      <c r="E50" s="48">
        <v>4718.59</v>
      </c>
      <c r="F50" s="48">
        <v>4718.59</v>
      </c>
      <c r="G50" s="48"/>
      <c r="H50" s="48"/>
    </row>
    <row r="51" spans="1:9" x14ac:dyDescent="0.25">
      <c r="A51" s="10"/>
      <c r="B51" s="10"/>
      <c r="C51" s="11">
        <v>9257</v>
      </c>
      <c r="D51" s="11" t="s">
        <v>44</v>
      </c>
      <c r="E51" s="48">
        <v>663.61</v>
      </c>
      <c r="F51" s="48"/>
      <c r="G51" s="48"/>
      <c r="H51" s="48"/>
    </row>
    <row r="52" spans="1:9" x14ac:dyDescent="0.25">
      <c r="A52" s="10"/>
      <c r="B52" s="10"/>
      <c r="C52" s="11">
        <v>926103</v>
      </c>
      <c r="D52" s="11" t="s">
        <v>46</v>
      </c>
      <c r="E52" s="48">
        <v>265.45</v>
      </c>
      <c r="F52" s="48">
        <v>326.56</v>
      </c>
      <c r="G52" s="48"/>
      <c r="H52" s="48"/>
    </row>
    <row r="53" spans="1:9" x14ac:dyDescent="0.25">
      <c r="A53" s="10"/>
      <c r="B53" s="10"/>
      <c r="C53" s="11"/>
      <c r="D53" s="11"/>
      <c r="E53" s="8"/>
      <c r="F53" s="8"/>
      <c r="G53" s="8"/>
      <c r="H53" s="8"/>
    </row>
    <row r="55" spans="1:9" ht="15.75" x14ac:dyDescent="0.25">
      <c r="A55" s="144" t="s">
        <v>173</v>
      </c>
      <c r="B55" s="165"/>
      <c r="C55" s="165"/>
      <c r="D55" s="165"/>
      <c r="E55" s="165"/>
      <c r="F55" s="165"/>
      <c r="G55" s="165"/>
      <c r="H55" s="165"/>
    </row>
    <row r="56" spans="1:9" ht="18" x14ac:dyDescent="0.25">
      <c r="A56" s="4"/>
      <c r="B56" s="4"/>
      <c r="C56" s="4"/>
      <c r="D56" s="4"/>
      <c r="E56" s="56">
        <f>E58+E95</f>
        <v>3360308.1100000003</v>
      </c>
      <c r="F56" s="56">
        <f>F58+F95</f>
        <v>3975248.6300000004</v>
      </c>
      <c r="G56" s="56">
        <f>G58+G95</f>
        <v>3954326.6500000008</v>
      </c>
      <c r="H56" s="56">
        <f>H58+H95</f>
        <v>3963297.8200000008</v>
      </c>
      <c r="I56" s="42"/>
    </row>
    <row r="57" spans="1:9" ht="25.5" x14ac:dyDescent="0.25">
      <c r="A57" s="15" t="s">
        <v>8</v>
      </c>
      <c r="B57" s="14" t="s">
        <v>9</v>
      </c>
      <c r="C57" s="14" t="s">
        <v>10</v>
      </c>
      <c r="D57" s="14" t="s">
        <v>13</v>
      </c>
      <c r="E57" s="15" t="s">
        <v>146</v>
      </c>
      <c r="F57" s="15" t="s">
        <v>140</v>
      </c>
      <c r="G57" s="15" t="s">
        <v>29</v>
      </c>
      <c r="H57" s="15" t="s">
        <v>141</v>
      </c>
    </row>
    <row r="58" spans="1:9" ht="15.75" customHeight="1" x14ac:dyDescent="0.25">
      <c r="A58" s="37">
        <v>3</v>
      </c>
      <c r="B58" s="37"/>
      <c r="C58" s="37"/>
      <c r="D58" s="37" t="s">
        <v>14</v>
      </c>
      <c r="E58" s="55">
        <f>E59+E68+E81+E86+E93</f>
        <v>3275614.3400000003</v>
      </c>
      <c r="F58" s="55">
        <f>F59+F68+F81+F86+F93</f>
        <v>3824928.45</v>
      </c>
      <c r="G58" s="55">
        <f>G59+G68+G81+G86</f>
        <v>3808057.7800000007</v>
      </c>
      <c r="H58" s="55">
        <f>H59+H68+H81+H86</f>
        <v>3817028.9500000007</v>
      </c>
    </row>
    <row r="59" spans="1:9" ht="15.75" customHeight="1" x14ac:dyDescent="0.25">
      <c r="A59" s="30"/>
      <c r="B59" s="31">
        <v>31</v>
      </c>
      <c r="C59" s="31"/>
      <c r="D59" s="31" t="s">
        <v>15</v>
      </c>
      <c r="E59" s="52">
        <f>SUM(E60:E67)</f>
        <v>2532382.9000000004</v>
      </c>
      <c r="F59" s="52">
        <f>SUM(F60:F67)</f>
        <v>3043117.4</v>
      </c>
      <c r="G59" s="52">
        <f>SUM(G60:G67)</f>
        <v>3033104.0900000003</v>
      </c>
      <c r="H59" s="52">
        <f>SUM(H60:H67)</f>
        <v>3042075.2600000002</v>
      </c>
    </row>
    <row r="60" spans="1:9" x14ac:dyDescent="0.25">
      <c r="A60" s="10"/>
      <c r="B60" s="10"/>
      <c r="C60" s="11">
        <v>11</v>
      </c>
      <c r="D60" s="11" t="s">
        <v>12</v>
      </c>
      <c r="E60" s="48">
        <v>150243.32999999999</v>
      </c>
      <c r="F60" s="48">
        <f>144964.98+22619.63+25711.08</f>
        <v>193295.69</v>
      </c>
      <c r="G60" s="48">
        <f>193295.69+2975.51</f>
        <v>196271.2</v>
      </c>
      <c r="H60" s="48">
        <f>196271.2+2990.39</f>
        <v>199261.59000000003</v>
      </c>
    </row>
    <row r="61" spans="1:9" x14ac:dyDescent="0.25">
      <c r="A61" s="10"/>
      <c r="B61" s="10"/>
      <c r="C61" s="11">
        <v>31</v>
      </c>
      <c r="D61" s="11" t="s">
        <v>81</v>
      </c>
      <c r="E61" s="48">
        <v>331.82</v>
      </c>
      <c r="F61" s="48">
        <v>0</v>
      </c>
      <c r="G61" s="48">
        <v>0</v>
      </c>
      <c r="H61" s="48">
        <v>0</v>
      </c>
    </row>
    <row r="62" spans="1:9" x14ac:dyDescent="0.25">
      <c r="A62" s="10"/>
      <c r="B62" s="10"/>
      <c r="C62" s="11">
        <v>9231</v>
      </c>
      <c r="D62" s="11" t="s">
        <v>86</v>
      </c>
      <c r="E62" s="48">
        <v>158.33000000000001</v>
      </c>
      <c r="F62" s="48">
        <v>0</v>
      </c>
      <c r="G62" s="48">
        <v>0</v>
      </c>
      <c r="H62" s="48">
        <v>0</v>
      </c>
    </row>
    <row r="63" spans="1:9" x14ac:dyDescent="0.25">
      <c r="A63" s="10"/>
      <c r="B63" s="10"/>
      <c r="C63" s="11">
        <v>41</v>
      </c>
      <c r="D63" s="11" t="s">
        <v>43</v>
      </c>
      <c r="E63" s="48">
        <v>3000</v>
      </c>
      <c r="F63" s="48">
        <v>0</v>
      </c>
      <c r="G63" s="48">
        <v>0</v>
      </c>
      <c r="H63" s="48">
        <v>0</v>
      </c>
    </row>
    <row r="64" spans="1:9" x14ac:dyDescent="0.25">
      <c r="A64" s="10"/>
      <c r="B64" s="10"/>
      <c r="C64" s="11">
        <v>92530</v>
      </c>
      <c r="D64" s="11" t="s">
        <v>90</v>
      </c>
      <c r="E64" s="48">
        <v>11619.74</v>
      </c>
      <c r="F64" s="48">
        <f>18939.84</f>
        <v>18939.84</v>
      </c>
      <c r="G64" s="48">
        <v>0</v>
      </c>
      <c r="H64" s="48">
        <v>0</v>
      </c>
    </row>
    <row r="65" spans="1:8" x14ac:dyDescent="0.25">
      <c r="A65" s="10"/>
      <c r="B65" s="10"/>
      <c r="C65" s="11">
        <v>5402</v>
      </c>
      <c r="D65" s="11" t="s">
        <v>49</v>
      </c>
      <c r="E65" s="48">
        <v>55972.05</v>
      </c>
      <c r="F65" s="48">
        <f>108951.19</f>
        <v>108951.19</v>
      </c>
      <c r="G65" s="48">
        <v>108951.19</v>
      </c>
      <c r="H65" s="48">
        <v>108951.19</v>
      </c>
    </row>
    <row r="66" spans="1:8" x14ac:dyDescent="0.25">
      <c r="A66" s="10"/>
      <c r="B66" s="10"/>
      <c r="C66" s="11">
        <v>57</v>
      </c>
      <c r="D66" s="11" t="s">
        <v>44</v>
      </c>
      <c r="E66" s="48">
        <v>2310526.7400000002</v>
      </c>
      <c r="F66" s="48">
        <f>2702173.11+19226.68</f>
        <v>2721399.79</v>
      </c>
      <c r="G66" s="48">
        <f>2721399.79+5951.02</f>
        <v>2727350.81</v>
      </c>
      <c r="H66" s="48">
        <f>2727350.81+5980.78</f>
        <v>2733331.59</v>
      </c>
    </row>
    <row r="67" spans="1:8" x14ac:dyDescent="0.25">
      <c r="A67" s="10"/>
      <c r="B67" s="10"/>
      <c r="C67" s="11">
        <v>6103</v>
      </c>
      <c r="D67" s="11" t="s">
        <v>46</v>
      </c>
      <c r="E67" s="48">
        <v>530.89</v>
      </c>
      <c r="F67" s="48">
        <v>530.89</v>
      </c>
      <c r="G67" s="48">
        <v>530.89</v>
      </c>
      <c r="H67" s="48">
        <v>530.89</v>
      </c>
    </row>
    <row r="68" spans="1:8" x14ac:dyDescent="0.25">
      <c r="A68" s="32"/>
      <c r="B68" s="32">
        <v>32</v>
      </c>
      <c r="C68" s="33"/>
      <c r="D68" s="32" t="s">
        <v>24</v>
      </c>
      <c r="E68" s="52">
        <f>SUM(E69:E80)</f>
        <v>606306.27</v>
      </c>
      <c r="F68" s="52">
        <f>SUM(F69:F80)</f>
        <v>643331.08000000007</v>
      </c>
      <c r="G68" s="52">
        <f>SUM(G69:G80)</f>
        <v>636473.72</v>
      </c>
      <c r="H68" s="52">
        <f>SUM(H69:H80)</f>
        <v>636473.72</v>
      </c>
    </row>
    <row r="69" spans="1:8" x14ac:dyDescent="0.25">
      <c r="A69" s="10"/>
      <c r="B69" s="10"/>
      <c r="C69" s="11">
        <v>11</v>
      </c>
      <c r="D69" s="11" t="s">
        <v>12</v>
      </c>
      <c r="E69" s="48">
        <v>182714</v>
      </c>
      <c r="F69" s="48">
        <f>194888.72+2189.92+1433.52+2000+2266.24+477.84</f>
        <v>203256.24</v>
      </c>
      <c r="G69" s="48">
        <v>203256.24</v>
      </c>
      <c r="H69" s="48">
        <v>203256.24</v>
      </c>
    </row>
    <row r="70" spans="1:8" x14ac:dyDescent="0.25">
      <c r="A70" s="10"/>
      <c r="B70" s="10"/>
      <c r="C70" s="11">
        <v>31</v>
      </c>
      <c r="D70" s="11" t="s">
        <v>45</v>
      </c>
      <c r="E70" s="48">
        <v>1221.04</v>
      </c>
      <c r="F70" s="48">
        <f>1262.71</f>
        <v>1262.71</v>
      </c>
      <c r="G70" s="48">
        <v>1262.71</v>
      </c>
      <c r="H70" s="48">
        <v>1262.71</v>
      </c>
    </row>
    <row r="71" spans="1:8" x14ac:dyDescent="0.25">
      <c r="A71" s="10"/>
      <c r="B71" s="10"/>
      <c r="C71" s="11">
        <v>9231</v>
      </c>
      <c r="D71" s="11" t="s">
        <v>86</v>
      </c>
      <c r="E71" s="48">
        <v>1761.42</v>
      </c>
      <c r="F71" s="48">
        <v>787.83</v>
      </c>
      <c r="G71" s="48">
        <v>0</v>
      </c>
      <c r="H71" s="48">
        <v>0</v>
      </c>
    </row>
    <row r="72" spans="1:8" x14ac:dyDescent="0.25">
      <c r="A72" s="10"/>
      <c r="B72" s="10"/>
      <c r="C72" s="11">
        <v>41</v>
      </c>
      <c r="D72" s="11" t="s">
        <v>43</v>
      </c>
      <c r="E72" s="48">
        <v>74930.89</v>
      </c>
      <c r="F72" s="48">
        <f>75730.89</f>
        <v>75730.89</v>
      </c>
      <c r="G72" s="48">
        <v>75730.89</v>
      </c>
      <c r="H72" s="48">
        <v>75730.89</v>
      </c>
    </row>
    <row r="73" spans="1:8" x14ac:dyDescent="0.25">
      <c r="A73" s="10"/>
      <c r="B73" s="10"/>
      <c r="C73" s="11">
        <v>9241</v>
      </c>
      <c r="D73" s="53" t="s">
        <v>88</v>
      </c>
      <c r="E73" s="48">
        <v>1000.67</v>
      </c>
      <c r="F73" s="48">
        <v>0</v>
      </c>
      <c r="G73" s="48">
        <v>0</v>
      </c>
      <c r="H73" s="48">
        <v>0</v>
      </c>
    </row>
    <row r="74" spans="1:8" x14ac:dyDescent="0.25">
      <c r="A74" s="10"/>
      <c r="B74" s="10"/>
      <c r="C74" s="11">
        <v>92530</v>
      </c>
      <c r="D74" s="11" t="s">
        <v>90</v>
      </c>
      <c r="E74" s="48">
        <v>1044.55</v>
      </c>
      <c r="F74" s="48">
        <v>477.84</v>
      </c>
      <c r="G74" s="48">
        <v>0</v>
      </c>
      <c r="H74" s="48">
        <v>0</v>
      </c>
    </row>
    <row r="75" spans="1:8" x14ac:dyDescent="0.25">
      <c r="A75" s="10"/>
      <c r="B75" s="10"/>
      <c r="C75" s="11">
        <v>5402</v>
      </c>
      <c r="D75" s="11" t="s">
        <v>49</v>
      </c>
      <c r="E75" s="48">
        <v>31007.18</v>
      </c>
      <c r="F75" s="48">
        <f>11202.9+6099.06</f>
        <v>17301.96</v>
      </c>
      <c r="G75" s="48">
        <v>17301.96</v>
      </c>
      <c r="H75" s="48">
        <v>17301.96</v>
      </c>
    </row>
    <row r="76" spans="1:8" x14ac:dyDescent="0.25">
      <c r="A76" s="10"/>
      <c r="B76" s="10"/>
      <c r="C76" s="11">
        <v>925401</v>
      </c>
      <c r="D76" s="11" t="s">
        <v>150</v>
      </c>
      <c r="E76" s="48">
        <v>4718.59</v>
      </c>
      <c r="F76" s="48">
        <f>4718.59</f>
        <v>4718.59</v>
      </c>
      <c r="G76" s="48">
        <v>0</v>
      </c>
      <c r="H76" s="48">
        <v>0</v>
      </c>
    </row>
    <row r="77" spans="1:8" x14ac:dyDescent="0.25">
      <c r="A77" s="10"/>
      <c r="B77" s="10"/>
      <c r="C77" s="11">
        <v>57</v>
      </c>
      <c r="D77" s="11" t="s">
        <v>44</v>
      </c>
      <c r="E77" s="48">
        <v>305862.8</v>
      </c>
      <c r="F77" s="48">
        <f>62740+273649.25+1456.37+1076.3</f>
        <v>338921.92</v>
      </c>
      <c r="G77" s="48">
        <v>338921.92</v>
      </c>
      <c r="H77" s="48">
        <v>338921.92</v>
      </c>
    </row>
    <row r="78" spans="1:8" x14ac:dyDescent="0.25">
      <c r="A78" s="10"/>
      <c r="B78" s="10"/>
      <c r="C78" s="11">
        <v>9257</v>
      </c>
      <c r="D78" s="11" t="s">
        <v>89</v>
      </c>
      <c r="E78" s="48">
        <v>663.61</v>
      </c>
      <c r="F78" s="48">
        <v>0</v>
      </c>
      <c r="G78" s="48">
        <v>0</v>
      </c>
      <c r="H78" s="48">
        <v>0</v>
      </c>
    </row>
    <row r="79" spans="1:8" x14ac:dyDescent="0.25">
      <c r="A79" s="10"/>
      <c r="B79" s="10"/>
      <c r="C79" s="11">
        <v>6103</v>
      </c>
      <c r="D79" s="11" t="s">
        <v>46</v>
      </c>
      <c r="E79" s="48">
        <v>1116.07</v>
      </c>
      <c r="F79" s="48">
        <v>546.54</v>
      </c>
      <c r="G79" s="48">
        <v>0</v>
      </c>
      <c r="H79" s="48">
        <v>0</v>
      </c>
    </row>
    <row r="80" spans="1:8" x14ac:dyDescent="0.25">
      <c r="A80" s="10"/>
      <c r="B80" s="10"/>
      <c r="C80" s="11">
        <v>926103</v>
      </c>
      <c r="D80" s="11" t="s">
        <v>91</v>
      </c>
      <c r="E80" s="48">
        <v>265.45</v>
      </c>
      <c r="F80" s="48">
        <v>326.56</v>
      </c>
      <c r="G80" s="48">
        <v>0</v>
      </c>
      <c r="H80" s="48">
        <v>0</v>
      </c>
    </row>
    <row r="81" spans="1:8" x14ac:dyDescent="0.25">
      <c r="A81" s="32"/>
      <c r="B81" s="32">
        <v>34</v>
      </c>
      <c r="C81" s="33"/>
      <c r="D81" s="32" t="s">
        <v>36</v>
      </c>
      <c r="E81" s="52">
        <f t="shared" ref="E81" si="4">SUM(E82:E85)</f>
        <v>1062.69</v>
      </c>
      <c r="F81" s="52">
        <f>SUM(F82:F85)</f>
        <v>1179.97</v>
      </c>
      <c r="G81" s="52">
        <f t="shared" ref="G81:H81" si="5">SUM(G82:G85)</f>
        <v>1179.97</v>
      </c>
      <c r="H81" s="52">
        <f t="shared" si="5"/>
        <v>1179.97</v>
      </c>
    </row>
    <row r="82" spans="1:8" x14ac:dyDescent="0.25">
      <c r="A82" s="36"/>
      <c r="B82" s="36"/>
      <c r="C82" s="11">
        <v>11</v>
      </c>
      <c r="D82" s="11" t="s">
        <v>12</v>
      </c>
      <c r="E82" s="54">
        <v>703.43</v>
      </c>
      <c r="F82" s="54">
        <f>689.82</f>
        <v>689.82</v>
      </c>
      <c r="G82" s="54">
        <v>689.82</v>
      </c>
      <c r="H82" s="54">
        <v>689.82</v>
      </c>
    </row>
    <row r="83" spans="1:8" x14ac:dyDescent="0.25">
      <c r="A83" s="36"/>
      <c r="B83" s="36"/>
      <c r="C83" s="11">
        <v>31</v>
      </c>
      <c r="D83" s="11" t="s">
        <v>45</v>
      </c>
      <c r="E83" s="54">
        <v>159.26</v>
      </c>
      <c r="F83" s="54">
        <v>190.15</v>
      </c>
      <c r="G83" s="54">
        <v>190.15</v>
      </c>
      <c r="H83" s="54">
        <v>190.15</v>
      </c>
    </row>
    <row r="84" spans="1:8" x14ac:dyDescent="0.25">
      <c r="A84" s="36"/>
      <c r="B84" s="36"/>
      <c r="C84" s="11">
        <v>9231</v>
      </c>
      <c r="D84" s="11" t="s">
        <v>86</v>
      </c>
      <c r="E84" s="54">
        <v>0</v>
      </c>
      <c r="F84" s="54">
        <v>0</v>
      </c>
      <c r="G84" s="54">
        <v>0</v>
      </c>
      <c r="H84" s="54">
        <v>0</v>
      </c>
    </row>
    <row r="85" spans="1:8" x14ac:dyDescent="0.25">
      <c r="A85" s="10"/>
      <c r="B85" s="10"/>
      <c r="C85" s="11">
        <v>41</v>
      </c>
      <c r="D85" s="11" t="s">
        <v>43</v>
      </c>
      <c r="E85" s="48">
        <v>200</v>
      </c>
      <c r="F85" s="48">
        <v>300</v>
      </c>
      <c r="G85" s="48">
        <v>300</v>
      </c>
      <c r="H85" s="48">
        <v>300</v>
      </c>
    </row>
    <row r="86" spans="1:8" ht="38.25" x14ac:dyDescent="0.25">
      <c r="A86" s="32"/>
      <c r="B86" s="32">
        <v>37</v>
      </c>
      <c r="C86" s="33"/>
      <c r="D86" s="34" t="s">
        <v>37</v>
      </c>
      <c r="E86" s="52">
        <f>SUM(E87:E92)</f>
        <v>133438.53</v>
      </c>
      <c r="F86" s="52">
        <f>SUM(F87:F92)</f>
        <v>137300</v>
      </c>
      <c r="G86" s="52">
        <f t="shared" ref="G86:H86" si="6">SUM(G87:G92)</f>
        <v>137300</v>
      </c>
      <c r="H86" s="52">
        <f t="shared" si="6"/>
        <v>137300</v>
      </c>
    </row>
    <row r="87" spans="1:8" x14ac:dyDescent="0.25">
      <c r="A87" s="10"/>
      <c r="B87" s="10"/>
      <c r="C87" s="11">
        <v>11</v>
      </c>
      <c r="D87" s="11" t="s">
        <v>12</v>
      </c>
      <c r="E87" s="48">
        <v>58053.1</v>
      </c>
      <c r="F87" s="48">
        <v>60000</v>
      </c>
      <c r="G87" s="48">
        <v>60000</v>
      </c>
      <c r="H87" s="48">
        <v>60000</v>
      </c>
    </row>
    <row r="88" spans="1:8" x14ac:dyDescent="0.25">
      <c r="A88" s="10"/>
      <c r="B88" s="10"/>
      <c r="C88" s="11">
        <v>31</v>
      </c>
      <c r="D88" s="11" t="s">
        <v>45</v>
      </c>
      <c r="E88" s="48">
        <v>39.82</v>
      </c>
      <c r="F88" s="48">
        <v>100</v>
      </c>
      <c r="G88" s="48">
        <v>100</v>
      </c>
      <c r="H88" s="48">
        <v>100</v>
      </c>
    </row>
    <row r="89" spans="1:8" x14ac:dyDescent="0.25">
      <c r="A89" s="10"/>
      <c r="B89" s="10"/>
      <c r="C89" s="11">
        <v>9231</v>
      </c>
      <c r="D89" s="11" t="s">
        <v>86</v>
      </c>
      <c r="E89" s="48">
        <v>30</v>
      </c>
      <c r="F89" s="48">
        <v>0</v>
      </c>
      <c r="G89" s="48">
        <v>0</v>
      </c>
      <c r="H89" s="48">
        <v>0</v>
      </c>
    </row>
    <row r="90" spans="1:8" x14ac:dyDescent="0.25">
      <c r="A90" s="10"/>
      <c r="B90" s="10"/>
      <c r="C90" s="11">
        <v>41</v>
      </c>
      <c r="D90" s="11" t="s">
        <v>43</v>
      </c>
      <c r="E90" s="48">
        <v>1123.56</v>
      </c>
      <c r="F90" s="48">
        <v>1000</v>
      </c>
      <c r="G90" s="48">
        <v>1000</v>
      </c>
      <c r="H90" s="48">
        <v>1000</v>
      </c>
    </row>
    <row r="91" spans="1:8" x14ac:dyDescent="0.25">
      <c r="A91" s="10"/>
      <c r="B91" s="10"/>
      <c r="C91" s="11">
        <v>57</v>
      </c>
      <c r="D91" s="11" t="s">
        <v>44</v>
      </c>
      <c r="E91" s="48">
        <v>74192.05</v>
      </c>
      <c r="F91" s="48">
        <v>76200</v>
      </c>
      <c r="G91" s="48">
        <v>76200</v>
      </c>
      <c r="H91" s="48">
        <v>76200</v>
      </c>
    </row>
    <row r="92" spans="1:8" x14ac:dyDescent="0.25">
      <c r="A92" s="10"/>
      <c r="B92" s="20"/>
      <c r="C92" s="11">
        <v>9257</v>
      </c>
      <c r="D92" s="11" t="s">
        <v>89</v>
      </c>
      <c r="E92" s="48">
        <v>0</v>
      </c>
      <c r="F92" s="48">
        <v>0</v>
      </c>
      <c r="G92" s="48">
        <v>0</v>
      </c>
      <c r="H92" s="48">
        <v>0</v>
      </c>
    </row>
    <row r="93" spans="1:8" ht="25.5" x14ac:dyDescent="0.25">
      <c r="A93" s="32"/>
      <c r="B93" s="32">
        <v>38</v>
      </c>
      <c r="C93" s="33"/>
      <c r="D93" s="34" t="s">
        <v>148</v>
      </c>
      <c r="E93" s="52">
        <f>E94</f>
        <v>2423.9499999999998</v>
      </c>
      <c r="F93" s="52">
        <f>F94</f>
        <v>0</v>
      </c>
      <c r="G93" s="52">
        <f t="shared" ref="G93:H93" si="7">G94</f>
        <v>0</v>
      </c>
      <c r="H93" s="52">
        <f t="shared" si="7"/>
        <v>0</v>
      </c>
    </row>
    <row r="94" spans="1:8" x14ac:dyDescent="0.25">
      <c r="A94" s="10"/>
      <c r="B94" s="20"/>
      <c r="C94" s="11">
        <v>57</v>
      </c>
      <c r="D94" s="11" t="s">
        <v>44</v>
      </c>
      <c r="E94" s="48">
        <v>2423.9499999999998</v>
      </c>
      <c r="F94" s="48">
        <v>0</v>
      </c>
      <c r="G94" s="48">
        <v>0</v>
      </c>
      <c r="H94" s="48">
        <v>0</v>
      </c>
    </row>
    <row r="95" spans="1:8" ht="25.5" x14ac:dyDescent="0.25">
      <c r="A95" s="39">
        <v>4</v>
      </c>
      <c r="B95" s="40"/>
      <c r="C95" s="40"/>
      <c r="D95" s="41" t="s">
        <v>16</v>
      </c>
      <c r="E95" s="55">
        <f>E96+E104</f>
        <v>84693.76999999999</v>
      </c>
      <c r="F95" s="55">
        <f>F96+F104</f>
        <v>150320.18</v>
      </c>
      <c r="G95" s="55">
        <f>G96+G104</f>
        <v>146268.87</v>
      </c>
      <c r="H95" s="55">
        <f>H96+H104</f>
        <v>146268.87</v>
      </c>
    </row>
    <row r="96" spans="1:8" ht="38.25" x14ac:dyDescent="0.25">
      <c r="A96" s="31"/>
      <c r="B96" s="31">
        <v>42</v>
      </c>
      <c r="C96" s="31"/>
      <c r="D96" s="35" t="s">
        <v>32</v>
      </c>
      <c r="E96" s="52">
        <f>SUM(E97:E103)</f>
        <v>44693.77</v>
      </c>
      <c r="F96" s="52">
        <f>SUM(F97:F103)</f>
        <v>78320.179999999993</v>
      </c>
      <c r="G96" s="52">
        <f>SUM(G97:G103)</f>
        <v>74268.87</v>
      </c>
      <c r="H96" s="52">
        <f>SUM(H97:H103)</f>
        <v>74268.87</v>
      </c>
    </row>
    <row r="97" spans="1:8" x14ac:dyDescent="0.25">
      <c r="A97" s="12"/>
      <c r="B97" s="12"/>
      <c r="C97" s="11">
        <v>11</v>
      </c>
      <c r="D97" s="11" t="s">
        <v>12</v>
      </c>
      <c r="E97" s="48">
        <v>5043.47</v>
      </c>
      <c r="F97" s="48">
        <f>40818.07</f>
        <v>40818.07</v>
      </c>
      <c r="G97" s="48">
        <v>40818.07</v>
      </c>
      <c r="H97" s="49">
        <v>40818.07</v>
      </c>
    </row>
    <row r="98" spans="1:8" x14ac:dyDescent="0.25">
      <c r="A98" s="12"/>
      <c r="B98" s="12"/>
      <c r="C98" s="11">
        <v>31</v>
      </c>
      <c r="D98" s="11" t="s">
        <v>45</v>
      </c>
      <c r="E98" s="48">
        <v>1924.49</v>
      </c>
      <c r="F98" s="48">
        <f>2123.57</f>
        <v>2123.5700000000002</v>
      </c>
      <c r="G98" s="48">
        <v>2123.5700000000002</v>
      </c>
      <c r="H98" s="49">
        <v>2123.5700000000002</v>
      </c>
    </row>
    <row r="99" spans="1:8" x14ac:dyDescent="0.25">
      <c r="A99" s="12"/>
      <c r="B99" s="12"/>
      <c r="C99" s="11">
        <v>9231</v>
      </c>
      <c r="D99" s="11" t="s">
        <v>86</v>
      </c>
      <c r="E99" s="48">
        <v>1561.7</v>
      </c>
      <c r="F99" s="48">
        <v>1551.31</v>
      </c>
      <c r="G99" s="48">
        <v>0</v>
      </c>
      <c r="H99" s="49">
        <v>0</v>
      </c>
    </row>
    <row r="100" spans="1:8" x14ac:dyDescent="0.25">
      <c r="A100" s="12"/>
      <c r="B100" s="12"/>
      <c r="C100" s="11">
        <v>41</v>
      </c>
      <c r="D100" s="11" t="s">
        <v>43</v>
      </c>
      <c r="E100" s="48">
        <v>13400</v>
      </c>
      <c r="F100" s="48">
        <v>15000</v>
      </c>
      <c r="G100" s="48">
        <v>15000</v>
      </c>
      <c r="H100" s="49">
        <v>15000</v>
      </c>
    </row>
    <row r="101" spans="1:8" x14ac:dyDescent="0.25">
      <c r="A101" s="12"/>
      <c r="B101" s="12"/>
      <c r="C101" s="11">
        <v>9241</v>
      </c>
      <c r="D101" s="53" t="s">
        <v>88</v>
      </c>
      <c r="E101" s="48">
        <v>6037.37</v>
      </c>
      <c r="F101" s="48">
        <v>2500</v>
      </c>
      <c r="G101" s="48">
        <v>0</v>
      </c>
      <c r="H101" s="49">
        <v>0</v>
      </c>
    </row>
    <row r="102" spans="1:8" x14ac:dyDescent="0.25">
      <c r="A102" s="12"/>
      <c r="B102" s="12"/>
      <c r="C102" s="11">
        <v>6103</v>
      </c>
      <c r="D102" s="11" t="s">
        <v>46</v>
      </c>
      <c r="E102" s="48">
        <v>2127.23</v>
      </c>
      <c r="F102" s="48">
        <v>0</v>
      </c>
      <c r="G102" s="48">
        <v>0</v>
      </c>
      <c r="H102" s="49">
        <v>0</v>
      </c>
    </row>
    <row r="103" spans="1:8" x14ac:dyDescent="0.25">
      <c r="A103" s="12"/>
      <c r="B103" s="12"/>
      <c r="C103" s="11">
        <v>57</v>
      </c>
      <c r="D103" s="11" t="s">
        <v>44</v>
      </c>
      <c r="E103" s="48">
        <v>14599.51</v>
      </c>
      <c r="F103" s="48">
        <v>16327.23</v>
      </c>
      <c r="G103" s="48">
        <v>16327.23</v>
      </c>
      <c r="H103" s="49">
        <v>16327.23</v>
      </c>
    </row>
    <row r="104" spans="1:8" ht="25.5" x14ac:dyDescent="0.25">
      <c r="A104" s="31"/>
      <c r="B104" s="31">
        <v>45</v>
      </c>
      <c r="C104" s="31"/>
      <c r="D104" s="35" t="s">
        <v>38</v>
      </c>
      <c r="E104" s="52">
        <f t="shared" ref="E104" si="8">SUM(E105:E106)</f>
        <v>40000</v>
      </c>
      <c r="F104" s="52">
        <f>SUM(F105:F106)</f>
        <v>72000</v>
      </c>
      <c r="G104" s="52">
        <f t="shared" ref="G104:H104" si="9">SUM(G105:G106)</f>
        <v>72000</v>
      </c>
      <c r="H104" s="52">
        <f t="shared" si="9"/>
        <v>72000</v>
      </c>
    </row>
    <row r="105" spans="1:8" x14ac:dyDescent="0.25">
      <c r="A105" s="12"/>
      <c r="B105" s="12"/>
      <c r="C105" s="11">
        <v>11</v>
      </c>
      <c r="D105" s="11" t="s">
        <v>12</v>
      </c>
      <c r="E105" s="48">
        <v>40000</v>
      </c>
      <c r="F105" s="48">
        <f>72000</f>
        <v>72000</v>
      </c>
      <c r="G105" s="48">
        <v>72000</v>
      </c>
      <c r="H105" s="49">
        <v>72000</v>
      </c>
    </row>
    <row r="106" spans="1:8" x14ac:dyDescent="0.25">
      <c r="A106" s="12"/>
      <c r="B106" s="12"/>
      <c r="C106" s="11"/>
      <c r="D106" s="11"/>
      <c r="E106" s="48"/>
      <c r="F106" s="48"/>
      <c r="G106" s="48"/>
      <c r="H106" s="49"/>
    </row>
  </sheetData>
  <mergeCells count="7">
    <mergeCell ref="A7:H7"/>
    <mergeCell ref="A55:H55"/>
    <mergeCell ref="A1:H1"/>
    <mergeCell ref="A3:H3"/>
    <mergeCell ref="A5:H5"/>
    <mergeCell ref="A42:H42"/>
    <mergeCell ref="A27:G2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130" zoomScaleNormal="130" workbookViewId="0">
      <selection activeCell="M14" sqref="M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customWidth="1"/>
    <col min="4" max="4" width="15.42578125" customWidth="1"/>
    <col min="5" max="8" width="25.28515625" customWidth="1"/>
  </cols>
  <sheetData>
    <row r="1" spans="1:8" ht="42" customHeight="1" x14ac:dyDescent="0.25">
      <c r="A1" s="144" t="s">
        <v>144</v>
      </c>
      <c r="B1" s="144"/>
      <c r="C1" s="144"/>
      <c r="D1" s="144"/>
      <c r="E1" s="144"/>
      <c r="F1" s="144"/>
      <c r="G1" s="144"/>
      <c r="H1" s="144"/>
    </row>
    <row r="2" spans="1:8" ht="18" customHeight="1" x14ac:dyDescent="0.3">
      <c r="A2" s="19"/>
      <c r="B2" s="19"/>
      <c r="C2" s="19"/>
      <c r="D2" s="19"/>
      <c r="E2" s="19"/>
      <c r="F2" s="19"/>
      <c r="G2" s="19"/>
      <c r="H2" s="19"/>
    </row>
    <row r="3" spans="1:8" ht="15.75" customHeight="1" x14ac:dyDescent="0.25">
      <c r="A3" s="144" t="s">
        <v>21</v>
      </c>
      <c r="B3" s="144"/>
      <c r="C3" s="144"/>
      <c r="D3" s="144"/>
      <c r="E3" s="144"/>
      <c r="F3" s="144"/>
      <c r="G3" s="144"/>
      <c r="H3" s="144"/>
    </row>
    <row r="4" spans="1:8" ht="17.45" x14ac:dyDescent="0.3">
      <c r="A4" s="19"/>
      <c r="B4" s="19"/>
      <c r="C4" s="19"/>
      <c r="D4" s="19"/>
      <c r="E4" s="19"/>
      <c r="F4" s="19"/>
      <c r="G4" s="5"/>
      <c r="H4" s="5"/>
    </row>
    <row r="5" spans="1:8" ht="18" customHeight="1" x14ac:dyDescent="0.25">
      <c r="A5" s="144" t="s">
        <v>7</v>
      </c>
      <c r="B5" s="144"/>
      <c r="C5" s="144"/>
      <c r="D5" s="144"/>
      <c r="E5" s="144"/>
      <c r="F5" s="144"/>
      <c r="G5" s="144"/>
      <c r="H5" s="144"/>
    </row>
    <row r="6" spans="1:8" ht="17.45" x14ac:dyDescent="0.3">
      <c r="A6" s="19"/>
      <c r="B6" s="19"/>
      <c r="C6" s="19"/>
      <c r="D6" s="19"/>
      <c r="E6" s="19"/>
      <c r="F6" s="19"/>
      <c r="G6" s="5"/>
      <c r="H6" s="5"/>
    </row>
    <row r="7" spans="1:8" ht="15.75" customHeight="1" x14ac:dyDescent="0.3">
      <c r="A7" s="144" t="s">
        <v>138</v>
      </c>
      <c r="B7" s="144"/>
      <c r="C7" s="144"/>
      <c r="D7" s="144"/>
      <c r="E7" s="144"/>
      <c r="F7" s="144"/>
      <c r="G7" s="144"/>
      <c r="H7" s="144"/>
    </row>
    <row r="8" spans="1:8" ht="17.45" x14ac:dyDescent="0.3">
      <c r="A8" s="19"/>
      <c r="B8" s="19"/>
      <c r="C8" s="19"/>
      <c r="D8" s="19"/>
      <c r="E8" s="19"/>
      <c r="F8" s="19"/>
      <c r="G8" s="5"/>
      <c r="H8" s="5"/>
    </row>
    <row r="9" spans="1:8" ht="25.5" x14ac:dyDescent="0.25">
      <c r="A9" s="15" t="s">
        <v>8</v>
      </c>
      <c r="B9" s="14" t="s">
        <v>9</v>
      </c>
      <c r="C9" s="14" t="s">
        <v>6</v>
      </c>
      <c r="D9" s="14" t="s">
        <v>139</v>
      </c>
      <c r="E9" s="15" t="s">
        <v>127</v>
      </c>
      <c r="F9" s="15" t="s">
        <v>140</v>
      </c>
      <c r="G9" s="15" t="s">
        <v>29</v>
      </c>
      <c r="H9" s="15" t="s">
        <v>141</v>
      </c>
    </row>
    <row r="10" spans="1:8" ht="14.45" x14ac:dyDescent="0.3">
      <c r="A10" s="102"/>
      <c r="B10" s="103"/>
      <c r="C10" s="104" t="s">
        <v>0</v>
      </c>
      <c r="D10" s="103"/>
      <c r="E10" s="129">
        <f>E11+E18</f>
        <v>3367770.4000000004</v>
      </c>
      <c r="F10" s="129">
        <f t="shared" ref="F10:H10" si="0">F11+F18</f>
        <v>3975248.6300000004</v>
      </c>
      <c r="G10" s="129">
        <f t="shared" si="0"/>
        <v>3954326.6500000004</v>
      </c>
      <c r="H10" s="129">
        <f t="shared" si="0"/>
        <v>3963297.8200000008</v>
      </c>
    </row>
    <row r="11" spans="1:8" ht="15.75" customHeight="1" x14ac:dyDescent="0.3">
      <c r="A11" s="9">
        <v>6</v>
      </c>
      <c r="B11" s="9"/>
      <c r="C11" s="9" t="s">
        <v>11</v>
      </c>
      <c r="D11" s="105"/>
      <c r="E11" s="128">
        <f>SUM(E12:E17)</f>
        <v>3338908.97</v>
      </c>
      <c r="F11" s="128">
        <f t="shared" ref="F11:H11" si="1">SUM(F12:F17)</f>
        <v>3945946.66</v>
      </c>
      <c r="G11" s="128">
        <f t="shared" si="1"/>
        <v>3954326.6500000004</v>
      </c>
      <c r="H11" s="128">
        <f t="shared" si="1"/>
        <v>3963297.8200000008</v>
      </c>
    </row>
    <row r="12" spans="1:8" ht="38.25" x14ac:dyDescent="0.25">
      <c r="A12" s="30"/>
      <c r="B12" s="31">
        <v>63</v>
      </c>
      <c r="C12" s="31" t="s">
        <v>30</v>
      </c>
      <c r="D12" s="31"/>
      <c r="E12" s="52">
        <v>2800946.3</v>
      </c>
      <c r="F12" s="52">
        <v>3279102.09</v>
      </c>
      <c r="G12" s="52">
        <v>3285053.11</v>
      </c>
      <c r="H12" s="52">
        <v>3291033.89</v>
      </c>
    </row>
    <row r="13" spans="1:8" ht="14.45" x14ac:dyDescent="0.3">
      <c r="A13" s="32"/>
      <c r="B13" s="32">
        <v>64</v>
      </c>
      <c r="C13" s="32" t="s">
        <v>33</v>
      </c>
      <c r="D13" s="32"/>
      <c r="E13" s="52">
        <v>92.9</v>
      </c>
      <c r="F13" s="52">
        <v>92.9</v>
      </c>
      <c r="G13" s="52">
        <v>92.9</v>
      </c>
      <c r="H13" s="52">
        <v>92.9</v>
      </c>
    </row>
    <row r="14" spans="1:8" ht="58.5" customHeight="1" x14ac:dyDescent="0.3">
      <c r="A14" s="32"/>
      <c r="B14" s="32">
        <v>65</v>
      </c>
      <c r="C14" s="34" t="s">
        <v>34</v>
      </c>
      <c r="D14" s="34"/>
      <c r="E14" s="52">
        <v>92654.45</v>
      </c>
      <c r="F14" s="52">
        <v>92030.89</v>
      </c>
      <c r="G14" s="52">
        <v>92030.89</v>
      </c>
      <c r="H14" s="52">
        <v>92030.89</v>
      </c>
    </row>
    <row r="15" spans="1:8" ht="38.25" x14ac:dyDescent="0.25">
      <c r="A15" s="32"/>
      <c r="B15" s="32">
        <v>66</v>
      </c>
      <c r="C15" s="34" t="s">
        <v>39</v>
      </c>
      <c r="D15" s="34"/>
      <c r="E15" s="52">
        <v>7278.09</v>
      </c>
      <c r="F15" s="52">
        <v>4528.24</v>
      </c>
      <c r="G15" s="52">
        <v>3981.7</v>
      </c>
      <c r="H15" s="52">
        <v>3981.7</v>
      </c>
    </row>
    <row r="16" spans="1:8" ht="38.25" x14ac:dyDescent="0.25">
      <c r="A16" s="32"/>
      <c r="B16" s="32">
        <v>67</v>
      </c>
      <c r="C16" s="31" t="s">
        <v>31</v>
      </c>
      <c r="D16" s="31"/>
      <c r="E16" s="52">
        <v>437804.51</v>
      </c>
      <c r="F16" s="52">
        <v>570059.81999999995</v>
      </c>
      <c r="G16" s="52">
        <v>573035.32999999996</v>
      </c>
      <c r="H16" s="52">
        <v>576025.72</v>
      </c>
    </row>
    <row r="17" spans="1:8" ht="26.45" x14ac:dyDescent="0.3">
      <c r="A17" s="32"/>
      <c r="B17" s="32">
        <v>68</v>
      </c>
      <c r="C17" s="34" t="s">
        <v>35</v>
      </c>
      <c r="D17" s="34"/>
      <c r="E17" s="52">
        <v>132.72</v>
      </c>
      <c r="F17" s="52">
        <v>132.72</v>
      </c>
      <c r="G17" s="52">
        <v>132.72</v>
      </c>
      <c r="H17" s="52">
        <v>132.72</v>
      </c>
    </row>
    <row r="18" spans="1:8" s="130" customFormat="1" x14ac:dyDescent="0.25">
      <c r="A18" s="131"/>
      <c r="B18" s="132">
        <v>92</v>
      </c>
      <c r="C18" s="134" t="s">
        <v>85</v>
      </c>
      <c r="D18" s="132"/>
      <c r="E18" s="133">
        <v>28861.43</v>
      </c>
      <c r="F18" s="133">
        <v>29301.97</v>
      </c>
      <c r="G18" s="133">
        <v>0</v>
      </c>
      <c r="H18" s="133">
        <v>0</v>
      </c>
    </row>
    <row r="20" spans="1:8" ht="15.75" x14ac:dyDescent="0.25">
      <c r="A20" s="144" t="s">
        <v>142</v>
      </c>
      <c r="B20" s="165"/>
      <c r="C20" s="165"/>
      <c r="D20" s="165"/>
      <c r="E20" s="165"/>
      <c r="F20" s="165"/>
      <c r="G20" s="165"/>
      <c r="H20" s="165"/>
    </row>
    <row r="21" spans="1:8" ht="18" x14ac:dyDescent="0.25">
      <c r="A21" s="19"/>
      <c r="B21" s="19"/>
      <c r="C21" s="19"/>
      <c r="D21" s="19"/>
      <c r="E21" s="19"/>
      <c r="F21" s="19"/>
      <c r="G21" s="5"/>
      <c r="H21" s="5"/>
    </row>
    <row r="22" spans="1:8" ht="25.5" x14ac:dyDescent="0.25">
      <c r="A22" s="15" t="s">
        <v>8</v>
      </c>
      <c r="B22" s="14" t="s">
        <v>9</v>
      </c>
      <c r="C22" s="14" t="s">
        <v>13</v>
      </c>
      <c r="D22" s="14" t="s">
        <v>139</v>
      </c>
      <c r="E22" s="15" t="s">
        <v>127</v>
      </c>
      <c r="F22" s="15" t="s">
        <v>140</v>
      </c>
      <c r="G22" s="15" t="s">
        <v>29</v>
      </c>
      <c r="H22" s="15" t="s">
        <v>141</v>
      </c>
    </row>
    <row r="23" spans="1:8" x14ac:dyDescent="0.25">
      <c r="A23" s="102"/>
      <c r="B23" s="103"/>
      <c r="C23" s="104" t="s">
        <v>1</v>
      </c>
      <c r="D23" s="103"/>
      <c r="E23" s="129">
        <f>E24+E30</f>
        <v>3360308.11</v>
      </c>
      <c r="F23" s="129">
        <f>F24+F30</f>
        <v>3975248.6300000004</v>
      </c>
      <c r="G23" s="129">
        <f t="shared" ref="G23:H23" si="2">G24+G30</f>
        <v>3954326.65</v>
      </c>
      <c r="H23" s="129">
        <f t="shared" si="2"/>
        <v>3963297.82</v>
      </c>
    </row>
    <row r="24" spans="1:8" ht="15.75" customHeight="1" x14ac:dyDescent="0.25">
      <c r="A24" s="9">
        <v>3</v>
      </c>
      <c r="B24" s="9"/>
      <c r="C24" s="9" t="s">
        <v>14</v>
      </c>
      <c r="D24" s="105"/>
      <c r="E24" s="128">
        <f>SUM(E25:E29)</f>
        <v>3275614.34</v>
      </c>
      <c r="F24" s="128">
        <f t="shared" ref="F24:H24" si="3">SUM(F25:F29)</f>
        <v>3824928.45</v>
      </c>
      <c r="G24" s="128">
        <f t="shared" si="3"/>
        <v>3808057.78</v>
      </c>
      <c r="H24" s="128">
        <f t="shared" si="3"/>
        <v>3817028.9499999997</v>
      </c>
    </row>
    <row r="25" spans="1:8" ht="21" customHeight="1" x14ac:dyDescent="0.25">
      <c r="A25" s="30"/>
      <c r="B25" s="31">
        <v>31</v>
      </c>
      <c r="C25" s="31" t="s">
        <v>15</v>
      </c>
      <c r="D25" s="31"/>
      <c r="E25" s="52">
        <v>2532382.9</v>
      </c>
      <c r="F25" s="52">
        <v>3043117.4</v>
      </c>
      <c r="G25" s="52">
        <v>3033104.09</v>
      </c>
      <c r="H25" s="52">
        <v>3042075.26</v>
      </c>
    </row>
    <row r="26" spans="1:8" x14ac:dyDescent="0.25">
      <c r="A26" s="32"/>
      <c r="B26" s="32">
        <v>32</v>
      </c>
      <c r="C26" s="32" t="s">
        <v>24</v>
      </c>
      <c r="D26" s="32"/>
      <c r="E26" s="52">
        <v>606306.27</v>
      </c>
      <c r="F26" s="52">
        <v>643331.07999999996</v>
      </c>
      <c r="G26" s="52">
        <v>636473.72</v>
      </c>
      <c r="H26" s="52">
        <v>636473.72</v>
      </c>
    </row>
    <row r="27" spans="1:8" x14ac:dyDescent="0.25">
      <c r="A27" s="32"/>
      <c r="B27" s="32">
        <v>34</v>
      </c>
      <c r="C27" s="32" t="s">
        <v>36</v>
      </c>
      <c r="D27" s="32"/>
      <c r="E27" s="52">
        <v>1062.69</v>
      </c>
      <c r="F27" s="52">
        <v>1179.97</v>
      </c>
      <c r="G27" s="52">
        <v>1179.97</v>
      </c>
      <c r="H27" s="52">
        <v>1179.97</v>
      </c>
    </row>
    <row r="28" spans="1:8" ht="38.25" x14ac:dyDescent="0.25">
      <c r="A28" s="32"/>
      <c r="B28" s="32">
        <v>37</v>
      </c>
      <c r="C28" s="34" t="s">
        <v>37</v>
      </c>
      <c r="D28" s="34"/>
      <c r="E28" s="52">
        <v>133438.53</v>
      </c>
      <c r="F28" s="52">
        <v>137300</v>
      </c>
      <c r="G28" s="52">
        <v>137300</v>
      </c>
      <c r="H28" s="52">
        <v>137300</v>
      </c>
    </row>
    <row r="29" spans="1:8" ht="25.5" x14ac:dyDescent="0.25">
      <c r="A29" s="32"/>
      <c r="B29" s="32">
        <v>38</v>
      </c>
      <c r="C29" s="34" t="s">
        <v>148</v>
      </c>
      <c r="D29" s="34"/>
      <c r="E29" s="52">
        <v>2423.9499999999998</v>
      </c>
      <c r="F29" s="52">
        <v>0</v>
      </c>
      <c r="G29" s="52">
        <v>0</v>
      </c>
      <c r="H29" s="52">
        <v>0</v>
      </c>
    </row>
    <row r="30" spans="1:8" ht="25.5" x14ac:dyDescent="0.25">
      <c r="A30" s="106">
        <v>4</v>
      </c>
      <c r="B30" s="107"/>
      <c r="C30" s="108" t="s">
        <v>16</v>
      </c>
      <c r="D30" s="105"/>
      <c r="E30" s="128">
        <f>E31+E32</f>
        <v>84693.76999999999</v>
      </c>
      <c r="F30" s="128">
        <f t="shared" ref="F30:H30" si="4">F31+F32</f>
        <v>150320.18</v>
      </c>
      <c r="G30" s="128">
        <f t="shared" si="4"/>
        <v>146268.87</v>
      </c>
      <c r="H30" s="128">
        <f t="shared" si="4"/>
        <v>146268.87</v>
      </c>
    </row>
    <row r="31" spans="1:8" ht="38.25" x14ac:dyDescent="0.25">
      <c r="A31" s="31"/>
      <c r="B31" s="31">
        <v>42</v>
      </c>
      <c r="C31" s="35" t="s">
        <v>32</v>
      </c>
      <c r="D31" s="35"/>
      <c r="E31" s="52">
        <v>44693.77</v>
      </c>
      <c r="F31" s="52">
        <v>78320.179999999993</v>
      </c>
      <c r="G31" s="52">
        <v>74268.87</v>
      </c>
      <c r="H31" s="52">
        <v>74268.87</v>
      </c>
    </row>
    <row r="32" spans="1:8" ht="25.5" x14ac:dyDescent="0.25">
      <c r="A32" s="31"/>
      <c r="B32" s="31">
        <v>45</v>
      </c>
      <c r="C32" s="35" t="s">
        <v>38</v>
      </c>
      <c r="D32" s="35"/>
      <c r="E32" s="52">
        <v>40000</v>
      </c>
      <c r="F32" s="52">
        <v>72000</v>
      </c>
      <c r="G32" s="52">
        <v>72000</v>
      </c>
      <c r="H32" s="52">
        <v>72000</v>
      </c>
    </row>
  </sheetData>
  <mergeCells count="5">
    <mergeCell ref="A1:H1"/>
    <mergeCell ref="A3:H3"/>
    <mergeCell ref="A5:H5"/>
    <mergeCell ref="A7:H7"/>
    <mergeCell ref="A20:H20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40" zoomScaleNormal="140" workbookViewId="0">
      <selection activeCell="I27" sqref="I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5703125" customWidth="1"/>
    <col min="4" max="4" width="15.7109375" customWidth="1"/>
    <col min="5" max="8" width="25.28515625" customWidth="1"/>
  </cols>
  <sheetData>
    <row r="1" spans="1:9" ht="42" customHeight="1" x14ac:dyDescent="0.25">
      <c r="A1" s="144" t="s">
        <v>145</v>
      </c>
      <c r="B1" s="144"/>
      <c r="C1" s="144"/>
      <c r="D1" s="144"/>
      <c r="E1" s="144"/>
      <c r="F1" s="144"/>
      <c r="G1" s="144"/>
      <c r="H1" s="144"/>
    </row>
    <row r="2" spans="1:9" ht="18" customHeight="1" x14ac:dyDescent="0.3">
      <c r="A2" s="19"/>
      <c r="B2" s="19"/>
      <c r="C2" s="19"/>
      <c r="D2" s="19"/>
      <c r="E2" s="19"/>
      <c r="F2" s="19"/>
      <c r="G2" s="19"/>
      <c r="H2" s="19"/>
    </row>
    <row r="3" spans="1:9" ht="15.75" x14ac:dyDescent="0.25">
      <c r="A3" s="144" t="s">
        <v>21</v>
      </c>
      <c r="B3" s="144"/>
      <c r="C3" s="144"/>
      <c r="D3" s="144"/>
      <c r="E3" s="144"/>
      <c r="F3" s="144"/>
      <c r="G3" s="145"/>
      <c r="H3" s="145"/>
    </row>
    <row r="4" spans="1:9" ht="17.45" x14ac:dyDescent="0.3">
      <c r="A4" s="19"/>
      <c r="B4" s="19"/>
      <c r="C4" s="19"/>
      <c r="D4" s="19"/>
      <c r="E4" s="19"/>
      <c r="F4" s="19"/>
      <c r="G4" s="5"/>
      <c r="H4" s="5"/>
    </row>
    <row r="5" spans="1:9" ht="18" customHeight="1" x14ac:dyDescent="0.25">
      <c r="A5" s="144" t="s">
        <v>157</v>
      </c>
      <c r="B5" s="146"/>
      <c r="C5" s="146"/>
      <c r="D5" s="146"/>
      <c r="E5" s="146"/>
      <c r="F5" s="146"/>
      <c r="G5" s="146"/>
      <c r="H5" s="146"/>
    </row>
    <row r="6" spans="1:9" ht="17.45" x14ac:dyDescent="0.3">
      <c r="A6" s="19"/>
      <c r="B6" s="19"/>
      <c r="C6" s="19"/>
      <c r="D6" s="19"/>
      <c r="E6" s="19"/>
      <c r="F6" s="19"/>
      <c r="G6" s="5"/>
      <c r="H6" s="5"/>
    </row>
    <row r="7" spans="1:9" ht="15.6" x14ac:dyDescent="0.3">
      <c r="A7" s="144" t="s">
        <v>158</v>
      </c>
      <c r="B7" s="165"/>
      <c r="C7" s="165"/>
      <c r="D7" s="165"/>
      <c r="E7" s="165"/>
      <c r="F7" s="165"/>
      <c r="G7" s="165"/>
      <c r="H7" s="165"/>
    </row>
    <row r="8" spans="1:9" ht="17.45" x14ac:dyDescent="0.3">
      <c r="A8" s="19"/>
      <c r="B8" s="19"/>
      <c r="C8" s="19"/>
      <c r="D8" s="19"/>
      <c r="E8" s="56"/>
      <c r="F8" s="56"/>
      <c r="G8" s="56"/>
      <c r="H8" s="56"/>
      <c r="I8" s="42"/>
    </row>
    <row r="9" spans="1:9" ht="25.5" x14ac:dyDescent="0.25">
      <c r="A9" s="169" t="s">
        <v>143</v>
      </c>
      <c r="B9" s="170"/>
      <c r="C9" s="171"/>
      <c r="D9" s="14" t="s">
        <v>139</v>
      </c>
      <c r="E9" s="15" t="s">
        <v>146</v>
      </c>
      <c r="F9" s="15" t="s">
        <v>140</v>
      </c>
      <c r="G9" s="15" t="s">
        <v>29</v>
      </c>
      <c r="H9" s="15" t="s">
        <v>141</v>
      </c>
    </row>
    <row r="10" spans="1:9" s="139" customFormat="1" ht="25.5" customHeight="1" x14ac:dyDescent="0.3">
      <c r="A10" s="172" t="s">
        <v>0</v>
      </c>
      <c r="B10" s="173"/>
      <c r="C10" s="174"/>
      <c r="D10" s="43"/>
      <c r="E10" s="141">
        <f>SUM(E11:E16)</f>
        <v>3338908.9699999997</v>
      </c>
      <c r="F10" s="141">
        <f t="shared" ref="F10:H10" si="0">SUM(F11:F16)</f>
        <v>3945946.6599999997</v>
      </c>
      <c r="G10" s="141">
        <f t="shared" si="0"/>
        <v>3954326.65</v>
      </c>
      <c r="H10" s="141">
        <f t="shared" si="0"/>
        <v>3963297.82</v>
      </c>
    </row>
    <row r="11" spans="1:9" x14ac:dyDescent="0.25">
      <c r="A11" s="166" t="s">
        <v>159</v>
      </c>
      <c r="B11" s="167"/>
      <c r="C11" s="168"/>
      <c r="D11" s="135"/>
      <c r="E11" s="48">
        <v>437804.51</v>
      </c>
      <c r="F11" s="48">
        <f>2000+62189.92+27000+45000+40818.07+11500+398.17+4937.37+16000+750+90000+71993+1000+1266.24+17471.78+118821.96+24088.8+6537.42+900+2265+19605.6+2882.85+722.28+1433.52+477.84</f>
        <v>570059.82000000007</v>
      </c>
      <c r="G11" s="48">
        <f>570059.82+2975.51</f>
        <v>573035.32999999996</v>
      </c>
      <c r="H11" s="48">
        <f>573035.33+2990.39</f>
        <v>576025.72</v>
      </c>
    </row>
    <row r="12" spans="1:9" ht="14.45" x14ac:dyDescent="0.3">
      <c r="A12" s="166" t="s">
        <v>160</v>
      </c>
      <c r="B12" s="167"/>
      <c r="C12" s="168"/>
      <c r="D12" s="135"/>
      <c r="E12" s="48">
        <f>92.9+132.72+3450.81</f>
        <v>3676.43</v>
      </c>
      <c r="F12" s="48">
        <f>26.54+66.36+132.72+3450.81</f>
        <v>3676.43</v>
      </c>
      <c r="G12" s="48">
        <f>92.9+132.72+3450.81</f>
        <v>3676.43</v>
      </c>
      <c r="H12" s="48">
        <f>92.9+132.72+3450.81</f>
        <v>3676.43</v>
      </c>
    </row>
    <row r="13" spans="1:9" ht="14.45" x14ac:dyDescent="0.3">
      <c r="A13" s="166" t="s">
        <v>161</v>
      </c>
      <c r="B13" s="167"/>
      <c r="C13" s="168"/>
      <c r="D13" s="135"/>
      <c r="E13" s="48">
        <v>92654.45</v>
      </c>
      <c r="F13" s="48">
        <f>2000+530.89+89500</f>
        <v>92030.89</v>
      </c>
      <c r="G13" s="48">
        <v>92030.89</v>
      </c>
      <c r="H13" s="48">
        <v>92030.89</v>
      </c>
    </row>
    <row r="14" spans="1:9" ht="14.45" x14ac:dyDescent="0.3">
      <c r="A14" s="166" t="s">
        <v>162</v>
      </c>
      <c r="B14" s="167"/>
      <c r="C14" s="168"/>
      <c r="D14" s="135"/>
      <c r="E14" s="48">
        <v>92507.92</v>
      </c>
      <c r="F14" s="48">
        <f>11202.9+84155.71+10909.75+13885.73+6099.06</f>
        <v>126253.15</v>
      </c>
      <c r="G14" s="48">
        <v>126253.15</v>
      </c>
      <c r="H14" s="48">
        <v>126253.15</v>
      </c>
    </row>
    <row r="15" spans="1:9" x14ac:dyDescent="0.25">
      <c r="A15" s="166" t="s">
        <v>163</v>
      </c>
      <c r="B15" s="167"/>
      <c r="C15" s="168"/>
      <c r="D15" s="135"/>
      <c r="E15" s="48">
        <v>2708438.38</v>
      </c>
      <c r="F15" s="48">
        <f>1456.37+663.61+900+200+1040+464.53+270000+15000+75000+1327.23+1581.11+2200000+14851.01+142173.11+1925.25+360000+2450.42+55000+1076.3+6440+1300</f>
        <v>3152848.9399999995</v>
      </c>
      <c r="G15" s="48">
        <f>3152848.94+5951.02</f>
        <v>3158799.96</v>
      </c>
      <c r="H15" s="48">
        <f>3158799.96+5980.78</f>
        <v>3164780.7399999998</v>
      </c>
    </row>
    <row r="16" spans="1:9" ht="14.45" x14ac:dyDescent="0.3">
      <c r="A16" s="166" t="s">
        <v>164</v>
      </c>
      <c r="B16" s="167"/>
      <c r="C16" s="168"/>
      <c r="D16" s="135"/>
      <c r="E16" s="48">
        <v>3827.28</v>
      </c>
      <c r="F16" s="48">
        <f>530.89+26.54+520</f>
        <v>1077.4299999999998</v>
      </c>
      <c r="G16" s="48">
        <f>530.89</f>
        <v>530.89</v>
      </c>
      <c r="H16" s="48">
        <f>530.89</f>
        <v>530.89</v>
      </c>
    </row>
    <row r="19" spans="1:9" ht="15.6" x14ac:dyDescent="0.3">
      <c r="A19" s="144" t="s">
        <v>165</v>
      </c>
      <c r="B19" s="165"/>
      <c r="C19" s="165"/>
      <c r="D19" s="165"/>
      <c r="E19" s="165"/>
      <c r="F19" s="165"/>
      <c r="G19" s="165"/>
      <c r="H19" s="165"/>
    </row>
    <row r="20" spans="1:9" ht="17.45" x14ac:dyDescent="0.3">
      <c r="A20" s="19"/>
      <c r="B20" s="19"/>
      <c r="C20" s="19"/>
      <c r="D20" s="19"/>
      <c r="E20" s="56"/>
      <c r="F20" s="56"/>
      <c r="G20" s="56"/>
      <c r="H20" s="56"/>
      <c r="I20" s="42"/>
    </row>
    <row r="21" spans="1:9" ht="25.5" x14ac:dyDescent="0.25">
      <c r="A21" s="169" t="s">
        <v>143</v>
      </c>
      <c r="B21" s="170"/>
      <c r="C21" s="171"/>
      <c r="D21" s="14" t="s">
        <v>139</v>
      </c>
      <c r="E21" s="15" t="s">
        <v>146</v>
      </c>
      <c r="F21" s="15" t="s">
        <v>140</v>
      </c>
      <c r="G21" s="15" t="s">
        <v>29</v>
      </c>
      <c r="H21" s="15" t="s">
        <v>141</v>
      </c>
    </row>
    <row r="22" spans="1:9" ht="15.75" customHeight="1" x14ac:dyDescent="0.3">
      <c r="A22" s="178" t="s">
        <v>1</v>
      </c>
      <c r="B22" s="179"/>
      <c r="C22" s="180"/>
      <c r="D22" s="37"/>
      <c r="E22" s="55">
        <f>SUM(E23:E34)</f>
        <v>3360308.11</v>
      </c>
      <c r="F22" s="55">
        <f t="shared" ref="F22:H22" si="1">SUM(F23:F34)</f>
        <v>3975248.6300000004</v>
      </c>
      <c r="G22" s="55">
        <f t="shared" si="1"/>
        <v>3954326.65</v>
      </c>
      <c r="H22" s="55">
        <f t="shared" si="1"/>
        <v>3963297.8200000003</v>
      </c>
    </row>
    <row r="23" spans="1:9" s="138" customFormat="1" ht="15.75" customHeight="1" x14ac:dyDescent="0.25">
      <c r="A23" s="166" t="s">
        <v>159</v>
      </c>
      <c r="B23" s="167"/>
      <c r="C23" s="168"/>
      <c r="D23" s="136"/>
      <c r="E23" s="54">
        <v>436757.33</v>
      </c>
      <c r="F23" s="54">
        <v>570059.81999999995</v>
      </c>
      <c r="G23" s="54">
        <v>573035.32999999996</v>
      </c>
      <c r="H23" s="54">
        <v>576025.72</v>
      </c>
    </row>
    <row r="24" spans="1:9" s="139" customFormat="1" ht="14.45" x14ac:dyDescent="0.3">
      <c r="A24" s="166" t="s">
        <v>160</v>
      </c>
      <c r="B24" s="167"/>
      <c r="C24" s="168"/>
      <c r="D24" s="137"/>
      <c r="E24" s="48">
        <v>3676.43</v>
      </c>
      <c r="F24" s="48">
        <v>3676.43</v>
      </c>
      <c r="G24" s="48">
        <v>3676.43</v>
      </c>
      <c r="H24" s="48">
        <v>3676.43</v>
      </c>
    </row>
    <row r="25" spans="1:9" s="139" customFormat="1" x14ac:dyDescent="0.25">
      <c r="A25" s="166" t="s">
        <v>166</v>
      </c>
      <c r="B25" s="167"/>
      <c r="C25" s="168"/>
      <c r="D25" s="137"/>
      <c r="E25" s="48">
        <v>3511.45</v>
      </c>
      <c r="F25" s="48">
        <v>2339.14</v>
      </c>
      <c r="G25" s="48">
        <v>0</v>
      </c>
      <c r="H25" s="48">
        <v>0</v>
      </c>
    </row>
    <row r="26" spans="1:9" s="139" customFormat="1" x14ac:dyDescent="0.25">
      <c r="A26" s="166" t="s">
        <v>161</v>
      </c>
      <c r="B26" s="167"/>
      <c r="C26" s="168"/>
      <c r="D26" s="137"/>
      <c r="E26" s="48">
        <v>92654.45</v>
      </c>
      <c r="F26" s="48">
        <v>92030.89</v>
      </c>
      <c r="G26" s="48">
        <v>92030.89</v>
      </c>
      <c r="H26" s="48">
        <v>92030.89</v>
      </c>
    </row>
    <row r="27" spans="1:9" s="139" customFormat="1" x14ac:dyDescent="0.25">
      <c r="A27" s="175" t="s">
        <v>167</v>
      </c>
      <c r="B27" s="176"/>
      <c r="C27" s="177"/>
      <c r="D27" s="137"/>
      <c r="E27" s="48">
        <v>7038.04</v>
      </c>
      <c r="F27" s="48">
        <v>2500</v>
      </c>
      <c r="G27" s="48">
        <v>0</v>
      </c>
      <c r="H27" s="48">
        <v>0</v>
      </c>
    </row>
    <row r="28" spans="1:9" s="139" customFormat="1" x14ac:dyDescent="0.25">
      <c r="A28" s="166" t="s">
        <v>168</v>
      </c>
      <c r="B28" s="167"/>
      <c r="C28" s="168"/>
      <c r="D28" s="140"/>
      <c r="E28" s="48">
        <v>12664.29</v>
      </c>
      <c r="F28" s="48">
        <v>19417.68</v>
      </c>
      <c r="G28" s="48">
        <v>0</v>
      </c>
      <c r="H28" s="48">
        <v>0</v>
      </c>
    </row>
    <row r="29" spans="1:9" s="139" customFormat="1" x14ac:dyDescent="0.25">
      <c r="A29" s="166" t="s">
        <v>162</v>
      </c>
      <c r="B29" s="167"/>
      <c r="C29" s="168"/>
      <c r="D29" s="137"/>
      <c r="E29" s="48">
        <v>86979.23</v>
      </c>
      <c r="F29" s="48">
        <v>126253.15</v>
      </c>
      <c r="G29" s="48">
        <v>126253.15</v>
      </c>
      <c r="H29" s="48">
        <v>126253.15</v>
      </c>
    </row>
    <row r="30" spans="1:9" s="139" customFormat="1" x14ac:dyDescent="0.25">
      <c r="A30" s="166" t="s">
        <v>170</v>
      </c>
      <c r="B30" s="167"/>
      <c r="C30" s="168"/>
      <c r="D30" s="137"/>
      <c r="E30" s="48">
        <v>4718.59</v>
      </c>
      <c r="F30" s="48">
        <f>4718.59</f>
        <v>4718.59</v>
      </c>
      <c r="G30" s="48">
        <v>0</v>
      </c>
      <c r="H30" s="48">
        <v>0</v>
      </c>
    </row>
    <row r="31" spans="1:9" s="139" customFormat="1" x14ac:dyDescent="0.25">
      <c r="A31" s="166" t="s">
        <v>163</v>
      </c>
      <c r="B31" s="167"/>
      <c r="C31" s="168"/>
      <c r="D31" s="137"/>
      <c r="E31" s="48">
        <v>2707605.05</v>
      </c>
      <c r="F31" s="48">
        <v>3152848.94</v>
      </c>
      <c r="G31" s="48">
        <v>3158799.96</v>
      </c>
      <c r="H31" s="48">
        <v>3164780.74</v>
      </c>
    </row>
    <row r="32" spans="1:9" s="139" customFormat="1" x14ac:dyDescent="0.25">
      <c r="A32" s="166" t="s">
        <v>169</v>
      </c>
      <c r="B32" s="167"/>
      <c r="C32" s="168"/>
      <c r="D32" s="137"/>
      <c r="E32" s="48">
        <v>663.61</v>
      </c>
      <c r="F32" s="48">
        <v>0</v>
      </c>
      <c r="G32" s="48">
        <v>0</v>
      </c>
      <c r="H32" s="48">
        <v>0</v>
      </c>
    </row>
    <row r="33" spans="1:8" s="139" customFormat="1" x14ac:dyDescent="0.25">
      <c r="A33" s="166" t="s">
        <v>164</v>
      </c>
      <c r="B33" s="167"/>
      <c r="C33" s="168"/>
      <c r="D33" s="137"/>
      <c r="E33" s="48">
        <v>3774.19</v>
      </c>
      <c r="F33" s="48">
        <v>1077.43</v>
      </c>
      <c r="G33" s="48">
        <v>530.89</v>
      </c>
      <c r="H33" s="48">
        <v>530.89</v>
      </c>
    </row>
    <row r="34" spans="1:8" s="139" customFormat="1" x14ac:dyDescent="0.25">
      <c r="A34" s="166" t="s">
        <v>171</v>
      </c>
      <c r="B34" s="167"/>
      <c r="C34" s="168"/>
      <c r="D34" s="137"/>
      <c r="E34" s="48">
        <v>265.45</v>
      </c>
      <c r="F34" s="48">
        <v>326.56</v>
      </c>
      <c r="G34" s="48">
        <v>0</v>
      </c>
      <c r="H34" s="48">
        <v>0</v>
      </c>
    </row>
  </sheetData>
  <mergeCells count="27">
    <mergeCell ref="A1:H1"/>
    <mergeCell ref="A3:H3"/>
    <mergeCell ref="A5:H5"/>
    <mergeCell ref="A7:H7"/>
    <mergeCell ref="A31:C31"/>
    <mergeCell ref="A19:H19"/>
    <mergeCell ref="A21:C21"/>
    <mergeCell ref="A22:C22"/>
    <mergeCell ref="A23:C23"/>
    <mergeCell ref="A24:C24"/>
    <mergeCell ref="A25:C25"/>
    <mergeCell ref="A16:C16"/>
    <mergeCell ref="A32:C32"/>
    <mergeCell ref="A33:C33"/>
    <mergeCell ref="A34:C34"/>
    <mergeCell ref="A9:C9"/>
    <mergeCell ref="A10:C10"/>
    <mergeCell ref="A11:C11"/>
    <mergeCell ref="A12:C12"/>
    <mergeCell ref="A13:C13"/>
    <mergeCell ref="A14:C14"/>
    <mergeCell ref="A15:C15"/>
    <mergeCell ref="A26:C26"/>
    <mergeCell ref="A27:C27"/>
    <mergeCell ref="A28:C28"/>
    <mergeCell ref="A29:C29"/>
    <mergeCell ref="A30:C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70" zoomScaleNormal="170" workbookViewId="0">
      <selection activeCell="D10" sqref="D10"/>
    </sheetView>
  </sheetViews>
  <sheetFormatPr defaultRowHeight="15" x14ac:dyDescent="0.25"/>
  <cols>
    <col min="1" max="1" width="37.7109375" customWidth="1"/>
    <col min="2" max="2" width="25.7109375" customWidth="1"/>
    <col min="3" max="5" width="25.28515625" customWidth="1"/>
  </cols>
  <sheetData>
    <row r="1" spans="1:5" ht="42" customHeight="1" x14ac:dyDescent="0.25">
      <c r="A1" s="144" t="s">
        <v>144</v>
      </c>
      <c r="B1" s="144"/>
      <c r="C1" s="144"/>
      <c r="D1" s="144"/>
      <c r="E1" s="144"/>
    </row>
    <row r="2" spans="1:5" ht="18" customHeight="1" x14ac:dyDescent="0.3">
      <c r="A2" s="4"/>
      <c r="B2" s="19"/>
      <c r="C2" s="4"/>
      <c r="D2" s="4"/>
      <c r="E2" s="4"/>
    </row>
    <row r="3" spans="1:5" ht="15.75" x14ac:dyDescent="0.25">
      <c r="A3" s="144" t="s">
        <v>21</v>
      </c>
      <c r="B3" s="144"/>
      <c r="C3" s="144"/>
      <c r="D3" s="145"/>
      <c r="E3" s="145"/>
    </row>
    <row r="4" spans="1:5" ht="17.45" x14ac:dyDescent="0.3">
      <c r="A4" s="4"/>
      <c r="B4" s="19"/>
      <c r="C4" s="4"/>
      <c r="D4" s="5"/>
      <c r="E4" s="5"/>
    </row>
    <row r="5" spans="1:5" ht="18" customHeight="1" x14ac:dyDescent="0.25">
      <c r="A5" s="144" t="s">
        <v>7</v>
      </c>
      <c r="B5" s="144"/>
      <c r="C5" s="146"/>
      <c r="D5" s="146"/>
      <c r="E5" s="146"/>
    </row>
    <row r="6" spans="1:5" ht="17.45" x14ac:dyDescent="0.3">
      <c r="A6" s="4"/>
      <c r="B6" s="19"/>
      <c r="C6" s="4"/>
      <c r="D6" s="5"/>
      <c r="E6" s="5"/>
    </row>
    <row r="7" spans="1:5" ht="15.6" x14ac:dyDescent="0.3">
      <c r="A7" s="144" t="s">
        <v>17</v>
      </c>
      <c r="B7" s="144"/>
      <c r="C7" s="165"/>
      <c r="D7" s="165"/>
      <c r="E7" s="165"/>
    </row>
    <row r="8" spans="1:5" ht="17.45" x14ac:dyDescent="0.3">
      <c r="A8" s="4"/>
      <c r="B8" s="19"/>
      <c r="C8" s="4"/>
      <c r="D8" s="5"/>
      <c r="E8" s="42" t="s">
        <v>47</v>
      </c>
    </row>
    <row r="9" spans="1:5" ht="25.5" x14ac:dyDescent="0.25">
      <c r="A9" s="15" t="s">
        <v>18</v>
      </c>
      <c r="B9" s="15" t="s">
        <v>146</v>
      </c>
      <c r="C9" s="15" t="s">
        <v>140</v>
      </c>
      <c r="D9" s="15" t="s">
        <v>29</v>
      </c>
      <c r="E9" s="15" t="s">
        <v>141</v>
      </c>
    </row>
    <row r="10" spans="1:5" ht="15.75" customHeight="1" x14ac:dyDescent="0.3">
      <c r="A10" s="9" t="s">
        <v>19</v>
      </c>
      <c r="B10" s="88">
        <f>B11</f>
        <v>3360308.1100000003</v>
      </c>
      <c r="C10" s="88">
        <f>C11</f>
        <v>3975248.63</v>
      </c>
      <c r="D10" s="88">
        <f t="shared" ref="D10:E10" si="0">D11</f>
        <v>3954326.65</v>
      </c>
      <c r="E10" s="88">
        <f t="shared" si="0"/>
        <v>3963297.82</v>
      </c>
    </row>
    <row r="11" spans="1:5" ht="15.75" customHeight="1" x14ac:dyDescent="0.3">
      <c r="A11" s="9" t="s">
        <v>40</v>
      </c>
      <c r="B11" s="87">
        <f>B12+B13</f>
        <v>3360308.1100000003</v>
      </c>
      <c r="C11" s="87">
        <f>C12+C13</f>
        <v>3975248.63</v>
      </c>
      <c r="D11" s="87">
        <f>D12+D13</f>
        <v>3954326.65</v>
      </c>
      <c r="E11" s="87">
        <f>E12+E13</f>
        <v>3963297.82</v>
      </c>
    </row>
    <row r="12" spans="1:5" ht="14.45" x14ac:dyDescent="0.3">
      <c r="A12" s="13" t="s">
        <v>41</v>
      </c>
      <c r="B12" s="115">
        <v>3031900.95</v>
      </c>
      <c r="C12" s="87">
        <v>3601089.36</v>
      </c>
      <c r="D12" s="87">
        <v>3580167.38</v>
      </c>
      <c r="E12" s="87">
        <v>3589138.55</v>
      </c>
    </row>
    <row r="13" spans="1:5" ht="14.45" x14ac:dyDescent="0.3">
      <c r="A13" s="9" t="s">
        <v>42</v>
      </c>
      <c r="B13" s="116">
        <v>328407.15999999997</v>
      </c>
      <c r="C13" s="87">
        <v>374159.27</v>
      </c>
      <c r="D13" s="87">
        <v>374159.27</v>
      </c>
      <c r="E13" s="87">
        <v>374159.27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zoomScale="120" zoomScaleNormal="120" workbookViewId="0">
      <selection activeCell="K166" sqref="K16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7109375" customWidth="1"/>
    <col min="4" max="4" width="37.28515625" customWidth="1"/>
    <col min="5" max="8" width="25.28515625" customWidth="1"/>
    <col min="12" max="12" width="9.42578125" customWidth="1"/>
  </cols>
  <sheetData>
    <row r="1" spans="1:8" ht="42" customHeight="1" x14ac:dyDescent="0.25">
      <c r="A1" s="144" t="s">
        <v>144</v>
      </c>
      <c r="B1" s="144"/>
      <c r="C1" s="144"/>
      <c r="D1" s="144"/>
      <c r="E1" s="144"/>
      <c r="F1" s="144"/>
      <c r="G1" s="144"/>
      <c r="H1" s="144"/>
    </row>
    <row r="2" spans="1:8" ht="17.45" x14ac:dyDescent="0.3">
      <c r="A2" s="4"/>
      <c r="B2" s="4"/>
      <c r="C2" s="4"/>
      <c r="D2" s="4"/>
      <c r="E2" s="19"/>
      <c r="F2" s="4"/>
      <c r="G2" s="5"/>
      <c r="H2" s="5"/>
    </row>
    <row r="3" spans="1:8" ht="18" customHeight="1" x14ac:dyDescent="0.3">
      <c r="A3" s="144" t="s">
        <v>20</v>
      </c>
      <c r="B3" s="146"/>
      <c r="C3" s="146"/>
      <c r="D3" s="146"/>
      <c r="E3" s="146"/>
      <c r="F3" s="146"/>
      <c r="G3" s="146"/>
      <c r="H3" s="146"/>
    </row>
    <row r="4" spans="1:8" ht="17.45" x14ac:dyDescent="0.3">
      <c r="A4" s="4"/>
      <c r="B4" s="4"/>
      <c r="C4" s="42" t="s">
        <v>47</v>
      </c>
      <c r="D4" s="4"/>
      <c r="E4" s="56">
        <f>E6+E100</f>
        <v>3360308.1100000003</v>
      </c>
      <c r="F4" s="56">
        <f>F6+F100</f>
        <v>3975248.6300000004</v>
      </c>
      <c r="G4" s="56">
        <f t="shared" ref="G4:H4" si="0">G6+G100</f>
        <v>3954326.65</v>
      </c>
      <c r="H4" s="56">
        <f t="shared" si="0"/>
        <v>3963297.8199999994</v>
      </c>
    </row>
    <row r="5" spans="1:8" ht="25.5" x14ac:dyDescent="0.25">
      <c r="A5" s="169" t="s">
        <v>22</v>
      </c>
      <c r="B5" s="196"/>
      <c r="C5" s="197"/>
      <c r="D5" s="14" t="s">
        <v>23</v>
      </c>
      <c r="E5" s="15" t="s">
        <v>146</v>
      </c>
      <c r="F5" s="15" t="s">
        <v>140</v>
      </c>
      <c r="G5" s="15" t="s">
        <v>29</v>
      </c>
      <c r="H5" s="15" t="s">
        <v>141</v>
      </c>
    </row>
    <row r="6" spans="1:8" ht="37.15" customHeight="1" x14ac:dyDescent="0.25">
      <c r="A6" s="193" t="s">
        <v>118</v>
      </c>
      <c r="B6" s="194"/>
      <c r="C6" s="195"/>
      <c r="D6" s="82" t="s">
        <v>119</v>
      </c>
      <c r="E6" s="68">
        <f>E7+E11+E15+E19+E23+E49+E78+E85</f>
        <v>3039079.08</v>
      </c>
      <c r="F6" s="68">
        <f>F7+F11+F15+F19+F23+F49+F78+F85</f>
        <v>3565572.9200000004</v>
      </c>
      <c r="G6" s="68">
        <f t="shared" ref="G6:H6" si="1">G7+G11+G15+G19+G23+G49+G78+G85</f>
        <v>3541675.4299999997</v>
      </c>
      <c r="H6" s="68">
        <f t="shared" si="1"/>
        <v>3547656.2099999995</v>
      </c>
    </row>
    <row r="7" spans="1:8" ht="24.95" customHeight="1" x14ac:dyDescent="0.25">
      <c r="A7" s="190" t="s">
        <v>50</v>
      </c>
      <c r="B7" s="191"/>
      <c r="C7" s="192"/>
      <c r="D7" s="58" t="s">
        <v>51</v>
      </c>
      <c r="E7" s="66">
        <f>E9</f>
        <v>174685.75</v>
      </c>
      <c r="F7" s="66">
        <f>F9</f>
        <v>194888.72</v>
      </c>
      <c r="G7" s="66">
        <f t="shared" ref="G7:H7" si="2">G9</f>
        <v>194888.72</v>
      </c>
      <c r="H7" s="66">
        <f t="shared" si="2"/>
        <v>194888.72</v>
      </c>
    </row>
    <row r="8" spans="1:8" s="73" customFormat="1" ht="24.95" customHeight="1" x14ac:dyDescent="0.2">
      <c r="A8" s="181" t="s">
        <v>79</v>
      </c>
      <c r="B8" s="182"/>
      <c r="C8" s="183"/>
      <c r="D8" s="71" t="s">
        <v>12</v>
      </c>
      <c r="E8" s="72">
        <f>E9</f>
        <v>174685.75</v>
      </c>
      <c r="F8" s="72">
        <f>F9</f>
        <v>194888.72</v>
      </c>
      <c r="G8" s="72">
        <f t="shared" ref="G8:H9" si="3">G9</f>
        <v>194888.72</v>
      </c>
      <c r="H8" s="72">
        <f t="shared" si="3"/>
        <v>194888.72</v>
      </c>
    </row>
    <row r="9" spans="1:8" ht="24.95" customHeight="1" x14ac:dyDescent="0.3">
      <c r="A9" s="187">
        <v>3</v>
      </c>
      <c r="B9" s="188"/>
      <c r="C9" s="189"/>
      <c r="D9" s="21" t="s">
        <v>14</v>
      </c>
      <c r="E9" s="50">
        <f>E10</f>
        <v>174685.75</v>
      </c>
      <c r="F9" s="50">
        <f>F10</f>
        <v>194888.72</v>
      </c>
      <c r="G9" s="50">
        <f t="shared" si="3"/>
        <v>194888.72</v>
      </c>
      <c r="H9" s="50">
        <f t="shared" si="3"/>
        <v>194888.72</v>
      </c>
    </row>
    <row r="10" spans="1:8" ht="24.95" customHeight="1" x14ac:dyDescent="0.3">
      <c r="A10" s="184">
        <v>32</v>
      </c>
      <c r="B10" s="185"/>
      <c r="C10" s="186"/>
      <c r="D10" s="21" t="s">
        <v>24</v>
      </c>
      <c r="E10" s="50">
        <v>174685.75</v>
      </c>
      <c r="F10" s="50">
        <f>71303.18+90000+750+16000+398.17+11500+4937.37</f>
        <v>194888.72</v>
      </c>
      <c r="G10" s="50">
        <v>194888.72</v>
      </c>
      <c r="H10" s="51">
        <v>194888.72</v>
      </c>
    </row>
    <row r="11" spans="1:8" ht="24.95" customHeight="1" x14ac:dyDescent="0.25">
      <c r="A11" s="190" t="s">
        <v>52</v>
      </c>
      <c r="B11" s="191"/>
      <c r="C11" s="192"/>
      <c r="D11" s="58" t="s">
        <v>53</v>
      </c>
      <c r="E11" s="66">
        <f>E13</f>
        <v>703.43</v>
      </c>
      <c r="F11" s="66">
        <f>F13</f>
        <v>689.82</v>
      </c>
      <c r="G11" s="66">
        <f t="shared" ref="G11:H11" si="4">G13</f>
        <v>689.82</v>
      </c>
      <c r="H11" s="66">
        <f t="shared" si="4"/>
        <v>689.82</v>
      </c>
    </row>
    <row r="12" spans="1:8" s="76" customFormat="1" ht="24.95" customHeight="1" x14ac:dyDescent="0.25">
      <c r="A12" s="181" t="s">
        <v>79</v>
      </c>
      <c r="B12" s="182"/>
      <c r="C12" s="183"/>
      <c r="D12" s="71" t="s">
        <v>12</v>
      </c>
      <c r="E12" s="72">
        <f>E13</f>
        <v>703.43</v>
      </c>
      <c r="F12" s="72">
        <f>F13</f>
        <v>689.82</v>
      </c>
      <c r="G12" s="72">
        <f t="shared" ref="G12:H13" si="5">G13</f>
        <v>689.82</v>
      </c>
      <c r="H12" s="72">
        <f t="shared" si="5"/>
        <v>689.82</v>
      </c>
    </row>
    <row r="13" spans="1:8" ht="24.95" customHeight="1" x14ac:dyDescent="0.3">
      <c r="A13" s="187">
        <v>3</v>
      </c>
      <c r="B13" s="188"/>
      <c r="C13" s="189"/>
      <c r="D13" s="28" t="s">
        <v>14</v>
      </c>
      <c r="E13" s="50">
        <f>E14</f>
        <v>703.43</v>
      </c>
      <c r="F13" s="50">
        <f>F14</f>
        <v>689.82</v>
      </c>
      <c r="G13" s="50">
        <f t="shared" si="5"/>
        <v>689.82</v>
      </c>
      <c r="H13" s="50">
        <f t="shared" si="5"/>
        <v>689.82</v>
      </c>
    </row>
    <row r="14" spans="1:8" ht="24.95" customHeight="1" x14ac:dyDescent="0.25">
      <c r="A14" s="184">
        <v>34</v>
      </c>
      <c r="B14" s="185"/>
      <c r="C14" s="186"/>
      <c r="D14" s="28" t="s">
        <v>53</v>
      </c>
      <c r="E14" s="50">
        <v>703.43</v>
      </c>
      <c r="F14" s="50">
        <f>689.82</f>
        <v>689.82</v>
      </c>
      <c r="G14" s="50">
        <v>689.82</v>
      </c>
      <c r="H14" s="51">
        <v>689.82</v>
      </c>
    </row>
    <row r="15" spans="1:8" ht="24.95" customHeight="1" x14ac:dyDescent="0.25">
      <c r="A15" s="190" t="s">
        <v>54</v>
      </c>
      <c r="B15" s="191"/>
      <c r="C15" s="192"/>
      <c r="D15" s="58" t="s">
        <v>55</v>
      </c>
      <c r="E15" s="66">
        <f>E17</f>
        <v>5043.47</v>
      </c>
      <c r="F15" s="66">
        <f>F17</f>
        <v>40818.07</v>
      </c>
      <c r="G15" s="66">
        <f t="shared" ref="G15:H15" si="6">G17</f>
        <v>40818.07</v>
      </c>
      <c r="H15" s="66">
        <f t="shared" si="6"/>
        <v>40818.07</v>
      </c>
    </row>
    <row r="16" spans="1:8" s="76" customFormat="1" ht="24.95" customHeight="1" x14ac:dyDescent="0.25">
      <c r="A16" s="181" t="s">
        <v>79</v>
      </c>
      <c r="B16" s="182"/>
      <c r="C16" s="183"/>
      <c r="D16" s="71" t="s">
        <v>12</v>
      </c>
      <c r="E16" s="72">
        <f>E17</f>
        <v>5043.47</v>
      </c>
      <c r="F16" s="72">
        <f>F17</f>
        <v>40818.07</v>
      </c>
      <c r="G16" s="72">
        <f t="shared" ref="G16:H17" si="7">G17</f>
        <v>40818.07</v>
      </c>
      <c r="H16" s="72">
        <f t="shared" si="7"/>
        <v>40818.07</v>
      </c>
    </row>
    <row r="17" spans="1:8" ht="24.95" customHeight="1" x14ac:dyDescent="0.3">
      <c r="A17" s="187">
        <v>4</v>
      </c>
      <c r="B17" s="188"/>
      <c r="C17" s="189"/>
      <c r="D17" s="28" t="s">
        <v>16</v>
      </c>
      <c r="E17" s="50">
        <f>E18</f>
        <v>5043.47</v>
      </c>
      <c r="F17" s="50">
        <f>F18</f>
        <v>40818.07</v>
      </c>
      <c r="G17" s="50">
        <f t="shared" si="7"/>
        <v>40818.07</v>
      </c>
      <c r="H17" s="50">
        <f t="shared" si="7"/>
        <v>40818.07</v>
      </c>
    </row>
    <row r="18" spans="1:8" ht="24.95" customHeight="1" x14ac:dyDescent="0.3">
      <c r="A18" s="184">
        <v>42</v>
      </c>
      <c r="B18" s="185"/>
      <c r="C18" s="186"/>
      <c r="D18" s="28" t="s">
        <v>32</v>
      </c>
      <c r="E18" s="50">
        <v>5043.47</v>
      </c>
      <c r="F18" s="50">
        <f>40818.07</f>
        <v>40818.07</v>
      </c>
      <c r="G18" s="50">
        <v>40818.07</v>
      </c>
      <c r="H18" s="51">
        <v>40818.07</v>
      </c>
    </row>
    <row r="19" spans="1:8" ht="24.95" customHeight="1" x14ac:dyDescent="0.25">
      <c r="A19" s="190" t="s">
        <v>56</v>
      </c>
      <c r="B19" s="191"/>
      <c r="C19" s="192"/>
      <c r="D19" s="58" t="s">
        <v>57</v>
      </c>
      <c r="E19" s="66">
        <f>E21</f>
        <v>40000</v>
      </c>
      <c r="F19" s="66">
        <f>F21</f>
        <v>72000</v>
      </c>
      <c r="G19" s="66">
        <f t="shared" ref="G19:H19" si="8">G21</f>
        <v>72000</v>
      </c>
      <c r="H19" s="66">
        <f t="shared" si="8"/>
        <v>72000</v>
      </c>
    </row>
    <row r="20" spans="1:8" s="76" customFormat="1" ht="24.95" customHeight="1" x14ac:dyDescent="0.25">
      <c r="A20" s="181" t="s">
        <v>79</v>
      </c>
      <c r="B20" s="182"/>
      <c r="C20" s="183"/>
      <c r="D20" s="71" t="s">
        <v>12</v>
      </c>
      <c r="E20" s="72">
        <f>E21</f>
        <v>40000</v>
      </c>
      <c r="F20" s="72">
        <f>F21</f>
        <v>72000</v>
      </c>
      <c r="G20" s="72">
        <f t="shared" ref="G20:H21" si="9">G21</f>
        <v>72000</v>
      </c>
      <c r="H20" s="72">
        <f t="shared" si="9"/>
        <v>72000</v>
      </c>
    </row>
    <row r="21" spans="1:8" ht="24.95" customHeight="1" x14ac:dyDescent="0.25">
      <c r="A21" s="187">
        <v>4</v>
      </c>
      <c r="B21" s="188"/>
      <c r="C21" s="189"/>
      <c r="D21" s="28" t="s">
        <v>16</v>
      </c>
      <c r="E21" s="50">
        <f>E22</f>
        <v>40000</v>
      </c>
      <c r="F21" s="50">
        <f>F22</f>
        <v>72000</v>
      </c>
      <c r="G21" s="50">
        <f t="shared" si="9"/>
        <v>72000</v>
      </c>
      <c r="H21" s="50">
        <f t="shared" si="9"/>
        <v>72000</v>
      </c>
    </row>
    <row r="22" spans="1:8" ht="24.95" customHeight="1" x14ac:dyDescent="0.25">
      <c r="A22" s="184">
        <v>45</v>
      </c>
      <c r="B22" s="185"/>
      <c r="C22" s="186"/>
      <c r="D22" s="44" t="s">
        <v>38</v>
      </c>
      <c r="E22" s="50">
        <v>40000</v>
      </c>
      <c r="F22" s="50">
        <f>45000+27000</f>
        <v>72000</v>
      </c>
      <c r="G22" s="50">
        <v>72000</v>
      </c>
      <c r="H22" s="51">
        <v>72000</v>
      </c>
    </row>
    <row r="23" spans="1:8" ht="32.450000000000003" customHeight="1" x14ac:dyDescent="0.25">
      <c r="A23" s="190" t="s">
        <v>58</v>
      </c>
      <c r="B23" s="191"/>
      <c r="C23" s="192"/>
      <c r="D23" s="58" t="s">
        <v>59</v>
      </c>
      <c r="E23" s="66">
        <f>E24+E27+E30+E33+E37+E46</f>
        <v>2376513.1900000004</v>
      </c>
      <c r="F23" s="66">
        <f>F24+F27+F30+F33+F37+F46</f>
        <v>2784861.6800000006</v>
      </c>
      <c r="G23" s="66">
        <f t="shared" ref="G23:H23" si="10">G24+G27+G30+G33+G37+G46</f>
        <v>2771395.02</v>
      </c>
      <c r="H23" s="66">
        <f t="shared" si="10"/>
        <v>2777375.8</v>
      </c>
    </row>
    <row r="24" spans="1:8" s="76" customFormat="1" ht="24.95" customHeight="1" x14ac:dyDescent="0.25">
      <c r="A24" s="181" t="s">
        <v>80</v>
      </c>
      <c r="B24" s="182"/>
      <c r="C24" s="183"/>
      <c r="D24" s="71" t="s">
        <v>81</v>
      </c>
      <c r="E24" s="72">
        <f>E25</f>
        <v>331.82</v>
      </c>
      <c r="F24" s="72">
        <f>F25</f>
        <v>0</v>
      </c>
      <c r="G24" s="72">
        <f t="shared" ref="G24:H25" si="11">G25</f>
        <v>0</v>
      </c>
      <c r="H24" s="72">
        <f t="shared" si="11"/>
        <v>0</v>
      </c>
    </row>
    <row r="25" spans="1:8" ht="24.95" customHeight="1" x14ac:dyDescent="0.25">
      <c r="A25" s="187">
        <v>3</v>
      </c>
      <c r="B25" s="188"/>
      <c r="C25" s="189"/>
      <c r="D25" s="59" t="s">
        <v>14</v>
      </c>
      <c r="E25" s="50">
        <f>E26</f>
        <v>331.82</v>
      </c>
      <c r="F25" s="50">
        <f>F26</f>
        <v>0</v>
      </c>
      <c r="G25" s="50">
        <f t="shared" si="11"/>
        <v>0</v>
      </c>
      <c r="H25" s="50">
        <f t="shared" si="11"/>
        <v>0</v>
      </c>
    </row>
    <row r="26" spans="1:8" ht="24.95" customHeight="1" x14ac:dyDescent="0.25">
      <c r="A26" s="184">
        <v>31</v>
      </c>
      <c r="B26" s="185"/>
      <c r="C26" s="186"/>
      <c r="D26" s="59" t="s">
        <v>112</v>
      </c>
      <c r="E26" s="50">
        <v>331.82</v>
      </c>
      <c r="F26" s="50">
        <v>0</v>
      </c>
      <c r="G26" s="50">
        <v>0</v>
      </c>
      <c r="H26" s="51">
        <v>0</v>
      </c>
    </row>
    <row r="27" spans="1:8" s="76" customFormat="1" ht="24.95" customHeight="1" x14ac:dyDescent="0.25">
      <c r="A27" s="181" t="s">
        <v>106</v>
      </c>
      <c r="B27" s="182"/>
      <c r="C27" s="183"/>
      <c r="D27" s="71" t="s">
        <v>86</v>
      </c>
      <c r="E27" s="72">
        <f>E28</f>
        <v>158.33000000000001</v>
      </c>
      <c r="F27" s="72">
        <f>F28</f>
        <v>0</v>
      </c>
      <c r="G27" s="72">
        <f t="shared" ref="G27:H28" si="12">G28</f>
        <v>0</v>
      </c>
      <c r="H27" s="72">
        <f t="shared" si="12"/>
        <v>0</v>
      </c>
    </row>
    <row r="28" spans="1:8" ht="24.95" customHeight="1" x14ac:dyDescent="0.25">
      <c r="A28" s="187">
        <v>3</v>
      </c>
      <c r="B28" s="188"/>
      <c r="C28" s="189"/>
      <c r="D28" s="59" t="s">
        <v>14</v>
      </c>
      <c r="E28" s="50">
        <f>E29</f>
        <v>158.33000000000001</v>
      </c>
      <c r="F28" s="50">
        <f>F29</f>
        <v>0</v>
      </c>
      <c r="G28" s="50">
        <f t="shared" si="12"/>
        <v>0</v>
      </c>
      <c r="H28" s="50">
        <f t="shared" si="12"/>
        <v>0</v>
      </c>
    </row>
    <row r="29" spans="1:8" ht="24.95" customHeight="1" x14ac:dyDescent="0.25">
      <c r="A29" s="184">
        <v>31</v>
      </c>
      <c r="B29" s="185"/>
      <c r="C29" s="186"/>
      <c r="D29" s="59" t="s">
        <v>111</v>
      </c>
      <c r="E29" s="50">
        <v>158.33000000000001</v>
      </c>
      <c r="F29" s="50">
        <v>0</v>
      </c>
      <c r="G29" s="50">
        <v>0</v>
      </c>
      <c r="H29" s="51">
        <v>0</v>
      </c>
    </row>
    <row r="30" spans="1:8" s="76" customFormat="1" ht="24.95" customHeight="1" x14ac:dyDescent="0.25">
      <c r="A30" s="181" t="s">
        <v>82</v>
      </c>
      <c r="B30" s="182"/>
      <c r="C30" s="183"/>
      <c r="D30" s="71" t="s">
        <v>105</v>
      </c>
      <c r="E30" s="72">
        <f>E31</f>
        <v>3000</v>
      </c>
      <c r="F30" s="72">
        <f>F31</f>
        <v>0</v>
      </c>
      <c r="G30" s="72">
        <f t="shared" ref="G30:H31" si="13">G31</f>
        <v>0</v>
      </c>
      <c r="H30" s="72">
        <f t="shared" si="13"/>
        <v>0</v>
      </c>
    </row>
    <row r="31" spans="1:8" ht="24.95" customHeight="1" x14ac:dyDescent="0.25">
      <c r="A31" s="187">
        <v>3</v>
      </c>
      <c r="B31" s="188"/>
      <c r="C31" s="189"/>
      <c r="D31" s="59" t="s">
        <v>14</v>
      </c>
      <c r="E31" s="50">
        <f>E32</f>
        <v>3000</v>
      </c>
      <c r="F31" s="50">
        <f>F32</f>
        <v>0</v>
      </c>
      <c r="G31" s="50">
        <f t="shared" si="13"/>
        <v>0</v>
      </c>
      <c r="H31" s="50">
        <f t="shared" si="13"/>
        <v>0</v>
      </c>
    </row>
    <row r="32" spans="1:8" ht="24.95" customHeight="1" x14ac:dyDescent="0.25">
      <c r="A32" s="184">
        <v>31</v>
      </c>
      <c r="B32" s="185"/>
      <c r="C32" s="186"/>
      <c r="D32" s="59" t="s">
        <v>15</v>
      </c>
      <c r="E32" s="50">
        <v>3000</v>
      </c>
      <c r="F32" s="50">
        <v>0</v>
      </c>
      <c r="G32" s="50">
        <v>0</v>
      </c>
      <c r="H32" s="51">
        <v>0</v>
      </c>
    </row>
    <row r="33" spans="1:8" s="76" customFormat="1" ht="24.95" customHeight="1" x14ac:dyDescent="0.25">
      <c r="A33" s="181" t="s">
        <v>93</v>
      </c>
      <c r="B33" s="182"/>
      <c r="C33" s="183"/>
      <c r="D33" s="71" t="s">
        <v>90</v>
      </c>
      <c r="E33" s="72">
        <f>E34</f>
        <v>12664.289999999999</v>
      </c>
      <c r="F33" s="72">
        <f>F34</f>
        <v>19417.68</v>
      </c>
      <c r="G33" s="72">
        <f t="shared" ref="G33:H33" si="14">G34</f>
        <v>0</v>
      </c>
      <c r="H33" s="72">
        <f t="shared" si="14"/>
        <v>0</v>
      </c>
    </row>
    <row r="34" spans="1:8" ht="24.95" customHeight="1" x14ac:dyDescent="0.25">
      <c r="A34" s="187">
        <v>3</v>
      </c>
      <c r="B34" s="188"/>
      <c r="C34" s="189"/>
      <c r="D34" s="59" t="s">
        <v>14</v>
      </c>
      <c r="E34" s="50">
        <f>E35+E36</f>
        <v>12664.289999999999</v>
      </c>
      <c r="F34" s="50">
        <f>F35+F36</f>
        <v>19417.68</v>
      </c>
      <c r="G34" s="50">
        <f t="shared" ref="G34:H34" si="15">G35+G36</f>
        <v>0</v>
      </c>
      <c r="H34" s="50">
        <f t="shared" si="15"/>
        <v>0</v>
      </c>
    </row>
    <row r="35" spans="1:8" ht="24.95" customHeight="1" x14ac:dyDescent="0.25">
      <c r="A35" s="184">
        <v>31</v>
      </c>
      <c r="B35" s="185"/>
      <c r="C35" s="186"/>
      <c r="D35" s="59" t="s">
        <v>15</v>
      </c>
      <c r="E35" s="50">
        <v>11619.74</v>
      </c>
      <c r="F35" s="50">
        <f>16257.36+2682.48</f>
        <v>18939.84</v>
      </c>
      <c r="G35" s="50">
        <v>0</v>
      </c>
      <c r="H35" s="51">
        <v>0</v>
      </c>
    </row>
    <row r="36" spans="1:8" ht="24.95" customHeight="1" x14ac:dyDescent="0.25">
      <c r="A36" s="184">
        <v>32</v>
      </c>
      <c r="B36" s="185"/>
      <c r="C36" s="186"/>
      <c r="D36" s="59" t="s">
        <v>99</v>
      </c>
      <c r="E36" s="50">
        <v>1044.55</v>
      </c>
      <c r="F36" s="50">
        <f>477.84</f>
        <v>477.84</v>
      </c>
      <c r="G36" s="50">
        <v>0</v>
      </c>
      <c r="H36" s="51">
        <v>0</v>
      </c>
    </row>
    <row r="37" spans="1:8" s="76" customFormat="1" ht="24.95" customHeight="1" x14ac:dyDescent="0.25">
      <c r="A37" s="181" t="s">
        <v>78</v>
      </c>
      <c r="B37" s="182"/>
      <c r="C37" s="183"/>
      <c r="D37" s="71" t="s">
        <v>92</v>
      </c>
      <c r="E37" s="72">
        <f>E38</f>
        <v>2359827.8600000003</v>
      </c>
      <c r="F37" s="72">
        <f>F38</f>
        <v>2764913.1100000003</v>
      </c>
      <c r="G37" s="72">
        <f t="shared" ref="G37:H37" si="16">G38</f>
        <v>2770864.13</v>
      </c>
      <c r="H37" s="72">
        <f t="shared" si="16"/>
        <v>2776844.9099999997</v>
      </c>
    </row>
    <row r="38" spans="1:8" ht="24.95" customHeight="1" x14ac:dyDescent="0.25">
      <c r="A38" s="187">
        <v>3</v>
      </c>
      <c r="B38" s="188"/>
      <c r="C38" s="189"/>
      <c r="D38" s="28" t="s">
        <v>14</v>
      </c>
      <c r="E38" s="50">
        <f>E39+E42</f>
        <v>2359827.8600000003</v>
      </c>
      <c r="F38" s="50">
        <f>F39+F42</f>
        <v>2764913.1100000003</v>
      </c>
      <c r="G38" s="50">
        <f t="shared" ref="G38:H38" si="17">G39+G42</f>
        <v>2770864.13</v>
      </c>
      <c r="H38" s="50">
        <f t="shared" si="17"/>
        <v>2776844.9099999997</v>
      </c>
    </row>
    <row r="39" spans="1:8" ht="24.95" customHeight="1" x14ac:dyDescent="0.25">
      <c r="A39" s="184">
        <v>31</v>
      </c>
      <c r="B39" s="185"/>
      <c r="C39" s="186"/>
      <c r="D39" s="28" t="s">
        <v>15</v>
      </c>
      <c r="E39" s="50">
        <f>E40+E41</f>
        <v>2298541.37</v>
      </c>
      <c r="F39" s="50">
        <f>F40+F41</f>
        <v>2702173.1100000003</v>
      </c>
      <c r="G39" s="50">
        <f t="shared" ref="G39:H39" si="18">G40+G41</f>
        <v>2708124.13</v>
      </c>
      <c r="H39" s="50">
        <f t="shared" si="18"/>
        <v>2714104.9099999997</v>
      </c>
    </row>
    <row r="40" spans="1:8" ht="24.95" customHeight="1" x14ac:dyDescent="0.25">
      <c r="A40" s="60"/>
      <c r="B40" s="61"/>
      <c r="C40" s="62"/>
      <c r="D40" s="69" t="s">
        <v>100</v>
      </c>
      <c r="E40" s="70">
        <v>2297853.33</v>
      </c>
      <c r="F40" s="70">
        <f>2200000+11117.25+10000+2222.24+1612.61+1440+1765.74+40000+36000+1327.23+36000+360000</f>
        <v>2701485.0700000003</v>
      </c>
      <c r="G40" s="70">
        <f>2701485.07+5951.02</f>
        <v>2707436.09</v>
      </c>
      <c r="H40" s="79">
        <f>2707436.09+5980.78</f>
        <v>2713416.8699999996</v>
      </c>
    </row>
    <row r="41" spans="1:8" ht="24.95" customHeight="1" x14ac:dyDescent="0.25">
      <c r="A41" s="60"/>
      <c r="B41" s="61"/>
      <c r="C41" s="62"/>
      <c r="D41" s="69" t="s">
        <v>101</v>
      </c>
      <c r="E41" s="70">
        <v>688.04</v>
      </c>
      <c r="F41" s="70">
        <v>688.04</v>
      </c>
      <c r="G41" s="70">
        <v>688.04</v>
      </c>
      <c r="H41" s="79">
        <v>688.04</v>
      </c>
    </row>
    <row r="42" spans="1:8" ht="24.95" customHeight="1" x14ac:dyDescent="0.25">
      <c r="A42" s="184">
        <v>32</v>
      </c>
      <c r="B42" s="185"/>
      <c r="C42" s="186"/>
      <c r="D42" s="28" t="s">
        <v>24</v>
      </c>
      <c r="E42" s="50">
        <f>E43+E44+E45</f>
        <v>61286.49</v>
      </c>
      <c r="F42" s="50">
        <f>F43+F44+F45</f>
        <v>62740</v>
      </c>
      <c r="G42" s="50">
        <f t="shared" ref="G42:H42" si="19">G43+G44+G45</f>
        <v>62740</v>
      </c>
      <c r="H42" s="50">
        <f t="shared" si="19"/>
        <v>62740</v>
      </c>
    </row>
    <row r="43" spans="1:8" ht="24.95" customHeight="1" x14ac:dyDescent="0.25">
      <c r="A43" s="60"/>
      <c r="B43" s="61"/>
      <c r="C43" s="62"/>
      <c r="D43" s="69" t="s">
        <v>102</v>
      </c>
      <c r="E43" s="70">
        <v>54079.44</v>
      </c>
      <c r="F43" s="70">
        <f>55000</f>
        <v>55000</v>
      </c>
      <c r="G43" s="70">
        <v>55000</v>
      </c>
      <c r="H43" s="79">
        <v>55000</v>
      </c>
    </row>
    <row r="44" spans="1:8" ht="24.95" customHeight="1" x14ac:dyDescent="0.25">
      <c r="A44" s="60"/>
      <c r="B44" s="61"/>
      <c r="C44" s="62"/>
      <c r="D44" s="69" t="s">
        <v>103</v>
      </c>
      <c r="E44" s="70">
        <v>5972.53</v>
      </c>
      <c r="F44" s="70">
        <v>6440</v>
      </c>
      <c r="G44" s="70">
        <v>6440</v>
      </c>
      <c r="H44" s="79">
        <v>6440</v>
      </c>
    </row>
    <row r="45" spans="1:8" ht="24.95" customHeight="1" x14ac:dyDescent="0.25">
      <c r="A45" s="60"/>
      <c r="B45" s="61"/>
      <c r="C45" s="62"/>
      <c r="D45" s="69" t="s">
        <v>104</v>
      </c>
      <c r="E45" s="70">
        <v>1234.52</v>
      </c>
      <c r="F45" s="70">
        <v>1300</v>
      </c>
      <c r="G45" s="70">
        <v>1300</v>
      </c>
      <c r="H45" s="79">
        <v>1300</v>
      </c>
    </row>
    <row r="46" spans="1:8" s="76" customFormat="1" ht="24.95" customHeight="1" x14ac:dyDescent="0.25">
      <c r="A46" s="181" t="s">
        <v>83</v>
      </c>
      <c r="B46" s="182"/>
      <c r="C46" s="183"/>
      <c r="D46" s="71" t="s">
        <v>46</v>
      </c>
      <c r="E46" s="72">
        <f>E47</f>
        <v>530.89</v>
      </c>
      <c r="F46" s="72">
        <f>F47</f>
        <v>530.89</v>
      </c>
      <c r="G46" s="72">
        <f t="shared" ref="G46:H47" si="20">G47</f>
        <v>530.89</v>
      </c>
      <c r="H46" s="72">
        <f t="shared" si="20"/>
        <v>530.89</v>
      </c>
    </row>
    <row r="47" spans="1:8" ht="24.95" customHeight="1" x14ac:dyDescent="0.25">
      <c r="A47" s="187">
        <v>3</v>
      </c>
      <c r="B47" s="188"/>
      <c r="C47" s="189"/>
      <c r="D47" s="59" t="s">
        <v>14</v>
      </c>
      <c r="E47" s="50">
        <f>E48</f>
        <v>530.89</v>
      </c>
      <c r="F47" s="50">
        <f>F48</f>
        <v>530.89</v>
      </c>
      <c r="G47" s="50">
        <f t="shared" si="20"/>
        <v>530.89</v>
      </c>
      <c r="H47" s="50">
        <f t="shared" si="20"/>
        <v>530.89</v>
      </c>
    </row>
    <row r="48" spans="1:8" ht="24.95" customHeight="1" x14ac:dyDescent="0.25">
      <c r="A48" s="184">
        <v>31</v>
      </c>
      <c r="B48" s="185"/>
      <c r="C48" s="186"/>
      <c r="D48" s="59" t="s">
        <v>113</v>
      </c>
      <c r="E48" s="50">
        <v>530.89</v>
      </c>
      <c r="F48" s="50">
        <v>530.89</v>
      </c>
      <c r="G48" s="50">
        <v>530.89</v>
      </c>
      <c r="H48" s="51">
        <v>530.89</v>
      </c>
    </row>
    <row r="49" spans="1:8" ht="24.95" customHeight="1" x14ac:dyDescent="0.25">
      <c r="A49" s="190" t="s">
        <v>60</v>
      </c>
      <c r="B49" s="191"/>
      <c r="C49" s="192"/>
      <c r="D49" s="58" t="s">
        <v>61</v>
      </c>
      <c r="E49" s="66">
        <f>E50+E54+E57+E61+E65+E70+E74+E76+E63</f>
        <v>402123.68</v>
      </c>
      <c r="F49" s="66">
        <f>F50+F54+F57+F61+F65+F70+F74+F76+F63</f>
        <v>434322.36999999994</v>
      </c>
      <c r="G49" s="66">
        <f t="shared" ref="G49:H49" si="21">G50+G54+G57+G61+G65+G70+G74+G76+G63</f>
        <v>427942.85</v>
      </c>
      <c r="H49" s="66">
        <f t="shared" si="21"/>
        <v>427942.85</v>
      </c>
    </row>
    <row r="50" spans="1:8" s="77" customFormat="1" ht="24.95" customHeight="1" x14ac:dyDescent="0.2">
      <c r="A50" s="181" t="s">
        <v>80</v>
      </c>
      <c r="B50" s="182"/>
      <c r="C50" s="183"/>
      <c r="D50" s="71" t="s">
        <v>81</v>
      </c>
      <c r="E50" s="72">
        <f>E51</f>
        <v>1260.8599999999999</v>
      </c>
      <c r="F50" s="72">
        <f>F51</f>
        <v>1362.71</v>
      </c>
      <c r="G50" s="72">
        <f t="shared" ref="G50:H50" si="22">G51</f>
        <v>1362.71</v>
      </c>
      <c r="H50" s="72">
        <f t="shared" si="22"/>
        <v>1362.71</v>
      </c>
    </row>
    <row r="51" spans="1:8" ht="24.95" customHeight="1" x14ac:dyDescent="0.25">
      <c r="A51" s="187">
        <v>3</v>
      </c>
      <c r="B51" s="188"/>
      <c r="C51" s="189"/>
      <c r="D51" s="28" t="s">
        <v>14</v>
      </c>
      <c r="E51" s="50">
        <f>E52+E53</f>
        <v>1260.8599999999999</v>
      </c>
      <c r="F51" s="50">
        <f>F52+F53</f>
        <v>1362.71</v>
      </c>
      <c r="G51" s="50">
        <f t="shared" ref="G51:H51" si="23">G52+G53</f>
        <v>1362.71</v>
      </c>
      <c r="H51" s="50">
        <f t="shared" si="23"/>
        <v>1362.71</v>
      </c>
    </row>
    <row r="52" spans="1:8" ht="24.95" customHeight="1" x14ac:dyDescent="0.25">
      <c r="A52" s="184">
        <v>32</v>
      </c>
      <c r="B52" s="185"/>
      <c r="C52" s="186"/>
      <c r="D52" s="59" t="s">
        <v>115</v>
      </c>
      <c r="E52" s="50">
        <v>1221.04</v>
      </c>
      <c r="F52" s="50">
        <f>66.36+100+400+200+396.35+100</f>
        <v>1262.71</v>
      </c>
      <c r="G52" s="50">
        <v>1262.71</v>
      </c>
      <c r="H52" s="51">
        <v>1262.71</v>
      </c>
    </row>
    <row r="53" spans="1:8" ht="36.75" customHeight="1" x14ac:dyDescent="0.25">
      <c r="A53" s="184">
        <v>37</v>
      </c>
      <c r="B53" s="185"/>
      <c r="C53" s="186"/>
      <c r="D53" s="67" t="s">
        <v>116</v>
      </c>
      <c r="E53" s="50">
        <v>39.82</v>
      </c>
      <c r="F53" s="50">
        <v>100</v>
      </c>
      <c r="G53" s="50">
        <v>100</v>
      </c>
      <c r="H53" s="51">
        <v>100</v>
      </c>
    </row>
    <row r="54" spans="1:8" s="77" customFormat="1" ht="24.95" customHeight="1" x14ac:dyDescent="0.2">
      <c r="A54" s="181" t="s">
        <v>106</v>
      </c>
      <c r="B54" s="182"/>
      <c r="C54" s="183"/>
      <c r="D54" s="71" t="s">
        <v>86</v>
      </c>
      <c r="E54" s="72">
        <f>E56+E55</f>
        <v>1791.42</v>
      </c>
      <c r="F54" s="72">
        <f t="shared" ref="F54" si="24">F56+F55</f>
        <v>787.82999999999993</v>
      </c>
      <c r="G54" s="72">
        <f>G56+G55</f>
        <v>0</v>
      </c>
      <c r="H54" s="72">
        <f>H56+H55</f>
        <v>0</v>
      </c>
    </row>
    <row r="55" spans="1:8" s="77" customFormat="1" ht="24.95" customHeight="1" x14ac:dyDescent="0.2">
      <c r="A55" s="184">
        <v>32</v>
      </c>
      <c r="B55" s="185"/>
      <c r="C55" s="186"/>
      <c r="D55" s="109" t="s">
        <v>24</v>
      </c>
      <c r="E55" s="112">
        <v>1761.42</v>
      </c>
      <c r="F55" s="112">
        <f>200+200+387.83</f>
        <v>787.82999999999993</v>
      </c>
      <c r="G55" s="112">
        <v>0</v>
      </c>
      <c r="H55" s="112">
        <v>0</v>
      </c>
    </row>
    <row r="56" spans="1:8" ht="27.75" customHeight="1" x14ac:dyDescent="0.25">
      <c r="A56" s="184">
        <v>37</v>
      </c>
      <c r="B56" s="185"/>
      <c r="C56" s="186"/>
      <c r="D56" s="67" t="s">
        <v>37</v>
      </c>
      <c r="E56" s="50">
        <v>30</v>
      </c>
      <c r="F56" s="50">
        <v>0</v>
      </c>
      <c r="G56" s="50">
        <v>0</v>
      </c>
      <c r="H56" s="51">
        <v>0</v>
      </c>
    </row>
    <row r="57" spans="1:8" s="77" customFormat="1" ht="24.95" customHeight="1" x14ac:dyDescent="0.2">
      <c r="A57" s="181" t="s">
        <v>82</v>
      </c>
      <c r="B57" s="182"/>
      <c r="C57" s="183"/>
      <c r="D57" s="71" t="s">
        <v>117</v>
      </c>
      <c r="E57" s="72">
        <f>E58</f>
        <v>76054.45</v>
      </c>
      <c r="F57" s="72">
        <f>F58</f>
        <v>76730.89</v>
      </c>
      <c r="G57" s="72">
        <f t="shared" ref="G57:H57" si="25">G58</f>
        <v>76730.89</v>
      </c>
      <c r="H57" s="72">
        <f t="shared" si="25"/>
        <v>76730.89</v>
      </c>
    </row>
    <row r="58" spans="1:8" ht="24.95" customHeight="1" x14ac:dyDescent="0.25">
      <c r="A58" s="187">
        <v>3</v>
      </c>
      <c r="B58" s="188"/>
      <c r="C58" s="189"/>
      <c r="D58" s="28" t="s">
        <v>14</v>
      </c>
      <c r="E58" s="50">
        <f>E59+E60</f>
        <v>76054.45</v>
      </c>
      <c r="F58" s="50">
        <f>F59+F60</f>
        <v>76730.89</v>
      </c>
      <c r="G58" s="50">
        <f t="shared" ref="G58:H58" si="26">G59+G60</f>
        <v>76730.89</v>
      </c>
      <c r="H58" s="50">
        <f t="shared" si="26"/>
        <v>76730.89</v>
      </c>
    </row>
    <row r="59" spans="1:8" ht="24.95" customHeight="1" x14ac:dyDescent="0.25">
      <c r="A59" s="184">
        <v>32</v>
      </c>
      <c r="B59" s="185"/>
      <c r="C59" s="186"/>
      <c r="D59" s="59" t="s">
        <v>24</v>
      </c>
      <c r="E59" s="50">
        <v>74930.89</v>
      </c>
      <c r="F59" s="50">
        <f>3300+60000+1000+3000+1000+200+3500+700+500+1000+530.89+1000</f>
        <v>75730.89</v>
      </c>
      <c r="G59" s="50">
        <v>75730.89</v>
      </c>
      <c r="H59" s="51">
        <v>75730.89</v>
      </c>
    </row>
    <row r="60" spans="1:8" ht="24.95" customHeight="1" x14ac:dyDescent="0.25">
      <c r="A60" s="184">
        <v>37</v>
      </c>
      <c r="B60" s="185"/>
      <c r="C60" s="186"/>
      <c r="D60" s="67" t="s">
        <v>37</v>
      </c>
      <c r="E60" s="50">
        <v>1123.56</v>
      </c>
      <c r="F60" s="50">
        <f>1000</f>
        <v>1000</v>
      </c>
      <c r="G60" s="50">
        <v>1000</v>
      </c>
      <c r="H60" s="51">
        <v>1000</v>
      </c>
    </row>
    <row r="61" spans="1:8" s="77" customFormat="1" ht="24.95" customHeight="1" x14ac:dyDescent="0.2">
      <c r="A61" s="181" t="s">
        <v>107</v>
      </c>
      <c r="B61" s="182"/>
      <c r="C61" s="183"/>
      <c r="D61" s="71" t="s">
        <v>88</v>
      </c>
      <c r="E61" s="72">
        <f>E62</f>
        <v>1000.67</v>
      </c>
      <c r="F61" s="72">
        <f>F62</f>
        <v>0</v>
      </c>
      <c r="G61" s="72">
        <f t="shared" ref="G61:H61" si="27">G62</f>
        <v>0</v>
      </c>
      <c r="H61" s="72">
        <f t="shared" si="27"/>
        <v>0</v>
      </c>
    </row>
    <row r="62" spans="1:8" ht="24.95" customHeight="1" x14ac:dyDescent="0.25">
      <c r="A62" s="184">
        <v>32</v>
      </c>
      <c r="B62" s="185"/>
      <c r="C62" s="186"/>
      <c r="D62" s="59" t="s">
        <v>24</v>
      </c>
      <c r="E62" s="50">
        <v>1000.67</v>
      </c>
      <c r="F62" s="50">
        <v>0</v>
      </c>
      <c r="G62" s="50">
        <v>0</v>
      </c>
      <c r="H62" s="51">
        <v>0</v>
      </c>
    </row>
    <row r="63" spans="1:8" ht="24.95" customHeight="1" x14ac:dyDescent="0.25">
      <c r="A63" s="181" t="s">
        <v>147</v>
      </c>
      <c r="B63" s="182"/>
      <c r="C63" s="183"/>
      <c r="D63" s="110" t="s">
        <v>150</v>
      </c>
      <c r="E63" s="113">
        <f>E64</f>
        <v>4718.59</v>
      </c>
      <c r="F63" s="113">
        <f t="shared" ref="F63:H63" si="28">F64</f>
        <v>4718.59</v>
      </c>
      <c r="G63" s="113">
        <f t="shared" si="28"/>
        <v>0</v>
      </c>
      <c r="H63" s="113">
        <f t="shared" si="28"/>
        <v>0</v>
      </c>
    </row>
    <row r="64" spans="1:8" ht="24.95" customHeight="1" x14ac:dyDescent="0.25">
      <c r="A64" s="184">
        <v>32</v>
      </c>
      <c r="B64" s="185"/>
      <c r="C64" s="186"/>
      <c r="D64" s="109" t="s">
        <v>24</v>
      </c>
      <c r="E64" s="50">
        <v>4718.59</v>
      </c>
      <c r="F64" s="50">
        <v>4718.59</v>
      </c>
      <c r="G64" s="50">
        <v>0</v>
      </c>
      <c r="H64" s="51">
        <v>0</v>
      </c>
    </row>
    <row r="65" spans="1:8" s="77" customFormat="1" ht="24.95" customHeight="1" x14ac:dyDescent="0.2">
      <c r="A65" s="181" t="s">
        <v>78</v>
      </c>
      <c r="B65" s="182"/>
      <c r="C65" s="183"/>
      <c r="D65" s="71" t="s">
        <v>44</v>
      </c>
      <c r="E65" s="72">
        <f>E66</f>
        <v>315252.56</v>
      </c>
      <c r="F65" s="72">
        <f>F66</f>
        <v>349849.24999999994</v>
      </c>
      <c r="G65" s="72">
        <f t="shared" ref="G65:H65" si="29">G66</f>
        <v>349849.25</v>
      </c>
      <c r="H65" s="72">
        <f t="shared" si="29"/>
        <v>349849.25</v>
      </c>
    </row>
    <row r="66" spans="1:8" ht="24.95" customHeight="1" x14ac:dyDescent="0.25">
      <c r="A66" s="187">
        <v>3</v>
      </c>
      <c r="B66" s="188"/>
      <c r="C66" s="189"/>
      <c r="D66" s="59" t="s">
        <v>14</v>
      </c>
      <c r="E66" s="50">
        <f>E67+E69+E68</f>
        <v>315252.56</v>
      </c>
      <c r="F66" s="50">
        <f t="shared" ref="F66:H66" si="30">F67+F69+F68</f>
        <v>349849.24999999994</v>
      </c>
      <c r="G66" s="50">
        <f t="shared" si="30"/>
        <v>349849.25</v>
      </c>
      <c r="H66" s="50">
        <f t="shared" si="30"/>
        <v>349849.25</v>
      </c>
    </row>
    <row r="67" spans="1:8" ht="24.95" customHeight="1" x14ac:dyDescent="0.25">
      <c r="A67" s="184">
        <v>32</v>
      </c>
      <c r="B67" s="185"/>
      <c r="C67" s="186"/>
      <c r="D67" s="28" t="s">
        <v>24</v>
      </c>
      <c r="E67" s="50">
        <v>238636.56</v>
      </c>
      <c r="F67" s="50">
        <f>81.11+100+200+270000+398.17+66.36+1040+200+900+663.61</f>
        <v>273649.24999999994</v>
      </c>
      <c r="G67" s="50">
        <v>273649.25</v>
      </c>
      <c r="H67" s="51">
        <v>273649.25</v>
      </c>
    </row>
    <row r="68" spans="1:8" ht="24.95" customHeight="1" x14ac:dyDescent="0.25">
      <c r="A68" s="184">
        <v>37</v>
      </c>
      <c r="B68" s="185"/>
      <c r="C68" s="186"/>
      <c r="D68" s="67" t="s">
        <v>37</v>
      </c>
      <c r="E68" s="50">
        <v>74192.05</v>
      </c>
      <c r="F68" s="50">
        <f>1200+75000</f>
        <v>76200</v>
      </c>
      <c r="G68" s="50">
        <v>76200</v>
      </c>
      <c r="H68" s="51">
        <v>76200</v>
      </c>
    </row>
    <row r="69" spans="1:8" ht="24.95" customHeight="1" x14ac:dyDescent="0.25">
      <c r="A69" s="184">
        <v>38</v>
      </c>
      <c r="B69" s="185"/>
      <c r="C69" s="186"/>
      <c r="D69" s="67" t="s">
        <v>148</v>
      </c>
      <c r="E69" s="50">
        <v>2423.9499999999998</v>
      </c>
      <c r="F69" s="50">
        <v>0</v>
      </c>
      <c r="G69" s="50">
        <v>0</v>
      </c>
      <c r="H69" s="51">
        <v>0</v>
      </c>
    </row>
    <row r="70" spans="1:8" s="77" customFormat="1" ht="24.95" customHeight="1" x14ac:dyDescent="0.2">
      <c r="A70" s="181" t="s">
        <v>110</v>
      </c>
      <c r="B70" s="182"/>
      <c r="C70" s="183"/>
      <c r="D70" s="71" t="s">
        <v>89</v>
      </c>
      <c r="E70" s="72">
        <f>E71</f>
        <v>663.61</v>
      </c>
      <c r="F70" s="72">
        <f>F71</f>
        <v>0</v>
      </c>
      <c r="G70" s="72">
        <f t="shared" ref="G70:H70" si="31">G71</f>
        <v>0</v>
      </c>
      <c r="H70" s="72">
        <f t="shared" si="31"/>
        <v>0</v>
      </c>
    </row>
    <row r="71" spans="1:8" ht="24.95" customHeight="1" x14ac:dyDescent="0.25">
      <c r="A71" s="187">
        <v>3</v>
      </c>
      <c r="B71" s="188"/>
      <c r="C71" s="189"/>
      <c r="D71" s="59" t="s">
        <v>14</v>
      </c>
      <c r="E71" s="50">
        <f>E72+E73</f>
        <v>663.61</v>
      </c>
      <c r="F71" s="50">
        <f>F72+F73</f>
        <v>0</v>
      </c>
      <c r="G71" s="50">
        <f t="shared" ref="G71:H71" si="32">G72+G73</f>
        <v>0</v>
      </c>
      <c r="H71" s="50">
        <f t="shared" si="32"/>
        <v>0</v>
      </c>
    </row>
    <row r="72" spans="1:8" ht="24.95" customHeight="1" x14ac:dyDescent="0.25">
      <c r="A72" s="184">
        <v>32</v>
      </c>
      <c r="B72" s="185"/>
      <c r="C72" s="186"/>
      <c r="D72" s="59" t="s">
        <v>24</v>
      </c>
      <c r="E72" s="50">
        <v>663.61</v>
      </c>
      <c r="F72" s="50">
        <v>0</v>
      </c>
      <c r="G72" s="50">
        <v>0</v>
      </c>
      <c r="H72" s="51">
        <v>0</v>
      </c>
    </row>
    <row r="73" spans="1:8" ht="24.95" customHeight="1" x14ac:dyDescent="0.25">
      <c r="A73" s="184">
        <v>37</v>
      </c>
      <c r="B73" s="185"/>
      <c r="C73" s="186"/>
      <c r="D73" s="67" t="s">
        <v>37</v>
      </c>
      <c r="E73" s="50"/>
      <c r="F73" s="50">
        <v>0</v>
      </c>
      <c r="G73" s="50">
        <v>0</v>
      </c>
      <c r="H73" s="51">
        <v>0</v>
      </c>
    </row>
    <row r="74" spans="1:8" s="77" customFormat="1" ht="24.95" customHeight="1" x14ac:dyDescent="0.2">
      <c r="A74" s="181" t="s">
        <v>83</v>
      </c>
      <c r="B74" s="182"/>
      <c r="C74" s="183"/>
      <c r="D74" s="71" t="s">
        <v>46</v>
      </c>
      <c r="E74" s="72">
        <f>E75</f>
        <v>1116.07</v>
      </c>
      <c r="F74" s="72">
        <f>F75</f>
        <v>546.54</v>
      </c>
      <c r="G74" s="72">
        <f t="shared" ref="G74:H74" si="33">G75</f>
        <v>0</v>
      </c>
      <c r="H74" s="72">
        <f t="shared" si="33"/>
        <v>0</v>
      </c>
    </row>
    <row r="75" spans="1:8" ht="24.95" customHeight="1" x14ac:dyDescent="0.25">
      <c r="A75" s="184">
        <v>32</v>
      </c>
      <c r="B75" s="185"/>
      <c r="C75" s="186"/>
      <c r="D75" s="59" t="s">
        <v>24</v>
      </c>
      <c r="E75" s="50">
        <v>1116.07</v>
      </c>
      <c r="F75" s="50">
        <f>520+26.54</f>
        <v>546.54</v>
      </c>
      <c r="G75" s="50">
        <v>0</v>
      </c>
      <c r="H75" s="51">
        <v>0</v>
      </c>
    </row>
    <row r="76" spans="1:8" s="76" customFormat="1" ht="24.95" customHeight="1" x14ac:dyDescent="0.25">
      <c r="A76" s="181" t="s">
        <v>114</v>
      </c>
      <c r="B76" s="182"/>
      <c r="C76" s="183"/>
      <c r="D76" s="78" t="s">
        <v>91</v>
      </c>
      <c r="E76" s="72">
        <f>E77</f>
        <v>265.45</v>
      </c>
      <c r="F76" s="72">
        <f>F77</f>
        <v>326.56</v>
      </c>
      <c r="G76" s="72">
        <f t="shared" ref="G76:H76" si="34">G77</f>
        <v>0</v>
      </c>
      <c r="H76" s="72">
        <f t="shared" si="34"/>
        <v>0</v>
      </c>
    </row>
    <row r="77" spans="1:8" ht="24.95" customHeight="1" x14ac:dyDescent="0.25">
      <c r="A77" s="184">
        <v>32</v>
      </c>
      <c r="B77" s="185"/>
      <c r="C77" s="186"/>
      <c r="D77" s="59" t="s">
        <v>24</v>
      </c>
      <c r="E77" s="50">
        <v>265.45</v>
      </c>
      <c r="F77" s="50">
        <v>326.56</v>
      </c>
      <c r="G77" s="50">
        <v>0</v>
      </c>
      <c r="H77" s="51">
        <v>0</v>
      </c>
    </row>
    <row r="78" spans="1:8" ht="24.95" customHeight="1" x14ac:dyDescent="0.25">
      <c r="A78" s="190" t="s">
        <v>62</v>
      </c>
      <c r="B78" s="191"/>
      <c r="C78" s="192"/>
      <c r="D78" s="58" t="s">
        <v>63</v>
      </c>
      <c r="E78" s="66">
        <f>E80+E82+E84</f>
        <v>359.26</v>
      </c>
      <c r="F78" s="66">
        <f>F80+F82+F84</f>
        <v>490.15</v>
      </c>
      <c r="G78" s="66">
        <f t="shared" ref="G78:H78" si="35">G80+G82+G84</f>
        <v>490.15</v>
      </c>
      <c r="H78" s="66">
        <f t="shared" si="35"/>
        <v>490.15</v>
      </c>
    </row>
    <row r="79" spans="1:8" s="76" customFormat="1" ht="24.95" customHeight="1" x14ac:dyDescent="0.25">
      <c r="A79" s="181" t="s">
        <v>80</v>
      </c>
      <c r="B79" s="182"/>
      <c r="C79" s="183"/>
      <c r="D79" s="71" t="s">
        <v>45</v>
      </c>
      <c r="E79" s="74"/>
      <c r="F79" s="74"/>
      <c r="G79" s="74"/>
      <c r="H79" s="75"/>
    </row>
    <row r="80" spans="1:8" ht="24.95" customHeight="1" x14ac:dyDescent="0.25">
      <c r="A80" s="184">
        <v>34</v>
      </c>
      <c r="B80" s="185"/>
      <c r="C80" s="186"/>
      <c r="D80" s="59" t="s">
        <v>36</v>
      </c>
      <c r="E80" s="50">
        <v>159.26</v>
      </c>
      <c r="F80" s="50">
        <f>66.36+26.54+66.36+30.89</f>
        <v>190.14999999999998</v>
      </c>
      <c r="G80" s="50">
        <v>190.15</v>
      </c>
      <c r="H80" s="51">
        <v>190.15</v>
      </c>
    </row>
    <row r="81" spans="1:8" s="76" customFormat="1" ht="24.95" customHeight="1" x14ac:dyDescent="0.25">
      <c r="A81" s="181" t="s">
        <v>106</v>
      </c>
      <c r="B81" s="182"/>
      <c r="C81" s="183"/>
      <c r="D81" s="71" t="s">
        <v>86</v>
      </c>
      <c r="E81" s="74"/>
      <c r="F81" s="74"/>
      <c r="G81" s="74"/>
      <c r="H81" s="75"/>
    </row>
    <row r="82" spans="1:8" ht="24.95" customHeight="1" x14ac:dyDescent="0.25">
      <c r="A82" s="184">
        <v>34</v>
      </c>
      <c r="B82" s="185"/>
      <c r="C82" s="186"/>
      <c r="D82" s="59" t="s">
        <v>36</v>
      </c>
      <c r="E82" s="50">
        <v>0</v>
      </c>
      <c r="F82" s="50">
        <v>0</v>
      </c>
      <c r="G82" s="50">
        <v>0</v>
      </c>
      <c r="H82" s="51">
        <v>0</v>
      </c>
    </row>
    <row r="83" spans="1:8" s="76" customFormat="1" ht="24.95" customHeight="1" x14ac:dyDescent="0.25">
      <c r="A83" s="181" t="s">
        <v>82</v>
      </c>
      <c r="B83" s="182"/>
      <c r="C83" s="183"/>
      <c r="D83" s="71" t="s">
        <v>105</v>
      </c>
      <c r="E83" s="74"/>
      <c r="F83" s="74"/>
      <c r="G83" s="74"/>
      <c r="H83" s="75"/>
    </row>
    <row r="84" spans="1:8" ht="24.95" customHeight="1" x14ac:dyDescent="0.25">
      <c r="A84" s="184">
        <v>34</v>
      </c>
      <c r="B84" s="185"/>
      <c r="C84" s="186"/>
      <c r="D84" s="59" t="s">
        <v>36</v>
      </c>
      <c r="E84" s="50">
        <v>200</v>
      </c>
      <c r="F84" s="50">
        <v>300</v>
      </c>
      <c r="G84" s="50">
        <v>300</v>
      </c>
      <c r="H84" s="51">
        <v>300</v>
      </c>
    </row>
    <row r="85" spans="1:8" ht="24.95" customHeight="1" x14ac:dyDescent="0.25">
      <c r="A85" s="190" t="s">
        <v>64</v>
      </c>
      <c r="B85" s="191"/>
      <c r="C85" s="192"/>
      <c r="D85" s="58" t="s">
        <v>65</v>
      </c>
      <c r="E85" s="66">
        <f>E87+E89+E91+E93+E97+E95</f>
        <v>39650.300000000003</v>
      </c>
      <c r="F85" s="66">
        <f t="shared" ref="F85:H85" si="36">F87+F89+F91+F93+F97+F95</f>
        <v>37502.11</v>
      </c>
      <c r="G85" s="66">
        <f t="shared" si="36"/>
        <v>33450.800000000003</v>
      </c>
      <c r="H85" s="66">
        <f t="shared" si="36"/>
        <v>33450.800000000003</v>
      </c>
    </row>
    <row r="86" spans="1:8" s="76" customFormat="1" ht="24.95" customHeight="1" x14ac:dyDescent="0.25">
      <c r="A86" s="181" t="s">
        <v>80</v>
      </c>
      <c r="B86" s="182"/>
      <c r="C86" s="183"/>
      <c r="D86" s="71" t="s">
        <v>45</v>
      </c>
      <c r="E86" s="74"/>
      <c r="F86" s="74"/>
      <c r="G86" s="74"/>
      <c r="H86" s="75"/>
    </row>
    <row r="87" spans="1:8" ht="24.95" customHeight="1" x14ac:dyDescent="0.25">
      <c r="A87" s="184">
        <v>42</v>
      </c>
      <c r="B87" s="185"/>
      <c r="C87" s="186"/>
      <c r="D87" s="59" t="s">
        <v>32</v>
      </c>
      <c r="E87" s="50">
        <v>1924.49</v>
      </c>
      <c r="F87" s="50">
        <v>2123.5700000000002</v>
      </c>
      <c r="G87" s="50">
        <v>2123.5700000000002</v>
      </c>
      <c r="H87" s="51">
        <v>2123.5700000000002</v>
      </c>
    </row>
    <row r="88" spans="1:8" s="76" customFormat="1" ht="24.95" customHeight="1" x14ac:dyDescent="0.25">
      <c r="A88" s="181" t="s">
        <v>106</v>
      </c>
      <c r="B88" s="182"/>
      <c r="C88" s="183"/>
      <c r="D88" s="71" t="s">
        <v>86</v>
      </c>
      <c r="E88" s="74"/>
      <c r="F88" s="74"/>
      <c r="G88" s="74"/>
      <c r="H88" s="75"/>
    </row>
    <row r="89" spans="1:8" ht="24.95" customHeight="1" x14ac:dyDescent="0.25">
      <c r="A89" s="184">
        <v>42</v>
      </c>
      <c r="B89" s="185"/>
      <c r="C89" s="186"/>
      <c r="D89" s="59" t="s">
        <v>32</v>
      </c>
      <c r="E89" s="50">
        <v>1561.7</v>
      </c>
      <c r="F89" s="50">
        <v>1551.31</v>
      </c>
      <c r="G89" s="50">
        <v>0</v>
      </c>
      <c r="H89" s="51">
        <v>0</v>
      </c>
    </row>
    <row r="90" spans="1:8" s="76" customFormat="1" ht="24.95" customHeight="1" x14ac:dyDescent="0.25">
      <c r="A90" s="181" t="s">
        <v>82</v>
      </c>
      <c r="B90" s="182"/>
      <c r="C90" s="183"/>
      <c r="D90" s="71" t="s">
        <v>105</v>
      </c>
      <c r="E90" s="74"/>
      <c r="F90" s="74"/>
      <c r="G90" s="74"/>
      <c r="H90" s="75"/>
    </row>
    <row r="91" spans="1:8" ht="24.95" customHeight="1" x14ac:dyDescent="0.25">
      <c r="A91" s="184">
        <v>42</v>
      </c>
      <c r="B91" s="185"/>
      <c r="C91" s="186"/>
      <c r="D91" s="59" t="s">
        <v>32</v>
      </c>
      <c r="E91" s="50">
        <v>13400</v>
      </c>
      <c r="F91" s="50">
        <f>3000+12000</f>
        <v>15000</v>
      </c>
      <c r="G91" s="50">
        <v>15000</v>
      </c>
      <c r="H91" s="51">
        <v>15000</v>
      </c>
    </row>
    <row r="92" spans="1:8" s="76" customFormat="1" ht="24.95" customHeight="1" x14ac:dyDescent="0.25">
      <c r="A92" s="181" t="s">
        <v>107</v>
      </c>
      <c r="B92" s="182"/>
      <c r="C92" s="183"/>
      <c r="D92" s="71" t="s">
        <v>88</v>
      </c>
      <c r="E92" s="74"/>
      <c r="F92" s="74"/>
      <c r="G92" s="74"/>
      <c r="H92" s="75"/>
    </row>
    <row r="93" spans="1:8" ht="24.95" customHeight="1" x14ac:dyDescent="0.25">
      <c r="A93" s="184">
        <v>42</v>
      </c>
      <c r="B93" s="185"/>
      <c r="C93" s="186"/>
      <c r="D93" s="59" t="s">
        <v>32</v>
      </c>
      <c r="E93" s="50">
        <v>6037.37</v>
      </c>
      <c r="F93" s="50">
        <v>2500</v>
      </c>
      <c r="G93" s="50">
        <v>0</v>
      </c>
      <c r="H93" s="51">
        <v>0</v>
      </c>
    </row>
    <row r="94" spans="1:8" ht="24.95" customHeight="1" x14ac:dyDescent="0.25">
      <c r="A94" s="181" t="s">
        <v>83</v>
      </c>
      <c r="B94" s="182"/>
      <c r="C94" s="183"/>
      <c r="D94" s="110" t="s">
        <v>46</v>
      </c>
      <c r="E94" s="50"/>
      <c r="F94" s="50"/>
      <c r="G94" s="50"/>
      <c r="H94" s="51"/>
    </row>
    <row r="95" spans="1:8" ht="24.95" customHeight="1" x14ac:dyDescent="0.25">
      <c r="A95" s="184">
        <v>42</v>
      </c>
      <c r="B95" s="185"/>
      <c r="C95" s="186"/>
      <c r="D95" s="109" t="s">
        <v>32</v>
      </c>
      <c r="E95" s="50">
        <v>2127.23</v>
      </c>
      <c r="F95" s="50">
        <v>0</v>
      </c>
      <c r="G95" s="50">
        <v>0</v>
      </c>
      <c r="H95" s="51">
        <v>0</v>
      </c>
    </row>
    <row r="96" spans="1:8" s="76" customFormat="1" ht="24.95" customHeight="1" x14ac:dyDescent="0.25">
      <c r="A96" s="181" t="s">
        <v>78</v>
      </c>
      <c r="B96" s="182"/>
      <c r="C96" s="183"/>
      <c r="D96" s="71" t="s">
        <v>44</v>
      </c>
      <c r="E96" s="74"/>
      <c r="F96" s="74"/>
      <c r="G96" s="74"/>
      <c r="H96" s="75"/>
    </row>
    <row r="97" spans="1:8" ht="24.95" customHeight="1" x14ac:dyDescent="0.25">
      <c r="A97" s="184">
        <v>42</v>
      </c>
      <c r="B97" s="185"/>
      <c r="C97" s="186"/>
      <c r="D97" s="59" t="s">
        <v>32</v>
      </c>
      <c r="E97" s="50">
        <f>E98+E99</f>
        <v>14599.51</v>
      </c>
      <c r="F97" s="50">
        <f>F98+F99</f>
        <v>16327.23</v>
      </c>
      <c r="G97" s="50">
        <f t="shared" ref="G97:H97" si="37">G98+G99</f>
        <v>16327.23</v>
      </c>
      <c r="H97" s="50">
        <f t="shared" si="37"/>
        <v>16327.23</v>
      </c>
    </row>
    <row r="98" spans="1:8" ht="24.95" customHeight="1" x14ac:dyDescent="0.25">
      <c r="A98" s="60"/>
      <c r="B98" s="61"/>
      <c r="C98" s="62"/>
      <c r="D98" s="69" t="s">
        <v>108</v>
      </c>
      <c r="E98" s="70">
        <v>1327.23</v>
      </c>
      <c r="F98" s="70">
        <v>1327.23</v>
      </c>
      <c r="G98" s="70">
        <v>1327.23</v>
      </c>
      <c r="H98" s="79">
        <v>1327.23</v>
      </c>
    </row>
    <row r="99" spans="1:8" ht="24.95" customHeight="1" x14ac:dyDescent="0.25">
      <c r="A99" s="184"/>
      <c r="B99" s="185"/>
      <c r="C99" s="186"/>
      <c r="D99" s="69" t="s">
        <v>109</v>
      </c>
      <c r="E99" s="70">
        <v>13272.28</v>
      </c>
      <c r="F99" s="70">
        <v>15000</v>
      </c>
      <c r="G99" s="70">
        <v>15000</v>
      </c>
      <c r="H99" s="79">
        <v>15000</v>
      </c>
    </row>
    <row r="100" spans="1:8" ht="24.95" customHeight="1" x14ac:dyDescent="0.25">
      <c r="A100" s="193" t="s">
        <v>66</v>
      </c>
      <c r="B100" s="194"/>
      <c r="C100" s="195"/>
      <c r="D100" s="65" t="s">
        <v>67</v>
      </c>
      <c r="E100" s="68">
        <f>E101+E106+E111+E115+E125+E138+E143</f>
        <v>321229.03000000003</v>
      </c>
      <c r="F100" s="68">
        <f>F101+F106+F111+F115+F125+F138+F143</f>
        <v>409675.70999999996</v>
      </c>
      <c r="G100" s="68">
        <f>G101+G106+G111+G115+G125+G138+G143</f>
        <v>412651.22000000003</v>
      </c>
      <c r="H100" s="68">
        <f>H101+H106+H111+H115+H125+H138+H143</f>
        <v>415641.61</v>
      </c>
    </row>
    <row r="101" spans="1:8" ht="31.9" customHeight="1" x14ac:dyDescent="0.25">
      <c r="A101" s="190" t="s">
        <v>68</v>
      </c>
      <c r="B101" s="191"/>
      <c r="C101" s="192"/>
      <c r="D101" s="58" t="s">
        <v>98</v>
      </c>
      <c r="E101" s="66">
        <f>E103</f>
        <v>2243.02</v>
      </c>
      <c r="F101" s="66">
        <f>F103</f>
        <v>2189.92</v>
      </c>
      <c r="G101" s="66">
        <f t="shared" ref="G101:H101" si="38">G103</f>
        <v>2189.92</v>
      </c>
      <c r="H101" s="66">
        <f t="shared" si="38"/>
        <v>2189.92</v>
      </c>
    </row>
    <row r="102" spans="1:8" s="76" customFormat="1" ht="24.95" customHeight="1" x14ac:dyDescent="0.25">
      <c r="A102" s="181" t="s">
        <v>79</v>
      </c>
      <c r="B102" s="182"/>
      <c r="C102" s="183"/>
      <c r="D102" s="71" t="s">
        <v>12</v>
      </c>
      <c r="E102" s="72">
        <f>E103</f>
        <v>2243.02</v>
      </c>
      <c r="F102" s="72">
        <f>F103</f>
        <v>2189.92</v>
      </c>
      <c r="G102" s="72">
        <f t="shared" ref="G102:H102" si="39">G103</f>
        <v>2189.92</v>
      </c>
      <c r="H102" s="72">
        <f t="shared" si="39"/>
        <v>2189.92</v>
      </c>
    </row>
    <row r="103" spans="1:8" ht="24.95" customHeight="1" x14ac:dyDescent="0.25">
      <c r="A103" s="187">
        <v>3</v>
      </c>
      <c r="B103" s="188"/>
      <c r="C103" s="189"/>
      <c r="D103" s="21" t="s">
        <v>14</v>
      </c>
      <c r="E103" s="50">
        <f>E105+E104</f>
        <v>2243.02</v>
      </c>
      <c r="F103" s="50">
        <f t="shared" ref="F103:H103" si="40">F105+F104</f>
        <v>2189.92</v>
      </c>
      <c r="G103" s="50">
        <f t="shared" si="40"/>
        <v>2189.92</v>
      </c>
      <c r="H103" s="50">
        <f t="shared" si="40"/>
        <v>2189.92</v>
      </c>
    </row>
    <row r="104" spans="1:8" ht="24.95" customHeight="1" x14ac:dyDescent="0.25">
      <c r="A104" s="184">
        <v>32</v>
      </c>
      <c r="B104" s="185"/>
      <c r="C104" s="186"/>
      <c r="D104" s="109" t="s">
        <v>24</v>
      </c>
      <c r="E104" s="50">
        <v>2189.92</v>
      </c>
      <c r="F104" s="50">
        <f>995.42+398.17+398.17+132.72+199.08+66.36</f>
        <v>2189.92</v>
      </c>
      <c r="G104" s="50">
        <v>2189.92</v>
      </c>
      <c r="H104" s="50">
        <v>2189.92</v>
      </c>
    </row>
    <row r="105" spans="1:8" ht="24.95" customHeight="1" x14ac:dyDescent="0.25">
      <c r="A105" s="184">
        <v>37</v>
      </c>
      <c r="B105" s="185"/>
      <c r="C105" s="186"/>
      <c r="D105" s="67" t="s">
        <v>37</v>
      </c>
      <c r="E105" s="50">
        <v>53.1</v>
      </c>
      <c r="F105" s="50">
        <v>0</v>
      </c>
      <c r="G105" s="50">
        <v>0</v>
      </c>
      <c r="H105" s="51">
        <v>0</v>
      </c>
    </row>
    <row r="106" spans="1:8" ht="24.95" customHeight="1" x14ac:dyDescent="0.25">
      <c r="A106" s="190" t="s">
        <v>69</v>
      </c>
      <c r="B106" s="191"/>
      <c r="C106" s="192"/>
      <c r="D106" s="58" t="s">
        <v>70</v>
      </c>
      <c r="E106" s="66">
        <f>E108</f>
        <v>102589.61</v>
      </c>
      <c r="F106" s="66">
        <f>F108</f>
        <v>146398.5</v>
      </c>
      <c r="G106" s="66">
        <f t="shared" ref="G106:H106" si="41">G108</f>
        <v>149374.01</v>
      </c>
      <c r="H106" s="66">
        <f t="shared" si="41"/>
        <v>152364.4</v>
      </c>
    </row>
    <row r="107" spans="1:8" s="76" customFormat="1" ht="24.95" customHeight="1" x14ac:dyDescent="0.25">
      <c r="A107" s="181" t="s">
        <v>79</v>
      </c>
      <c r="B107" s="182"/>
      <c r="C107" s="183"/>
      <c r="D107" s="71" t="s">
        <v>12</v>
      </c>
      <c r="E107" s="72">
        <f>E108</f>
        <v>102589.61</v>
      </c>
      <c r="F107" s="72">
        <f>F108</f>
        <v>146398.5</v>
      </c>
      <c r="G107" s="72">
        <f t="shared" ref="G107:H107" si="42">G108</f>
        <v>149374.01</v>
      </c>
      <c r="H107" s="72">
        <f t="shared" si="42"/>
        <v>152364.4</v>
      </c>
    </row>
    <row r="108" spans="1:8" ht="24.95" customHeight="1" x14ac:dyDescent="0.25">
      <c r="A108" s="187">
        <v>3</v>
      </c>
      <c r="B108" s="188"/>
      <c r="C108" s="189"/>
      <c r="D108" s="28" t="s">
        <v>14</v>
      </c>
      <c r="E108" s="50">
        <f>E109+E110</f>
        <v>102589.61</v>
      </c>
      <c r="F108" s="50">
        <f>F109+F110</f>
        <v>146398.5</v>
      </c>
      <c r="G108" s="50">
        <f t="shared" ref="G108:H108" si="43">G109+G110</f>
        <v>149374.01</v>
      </c>
      <c r="H108" s="50">
        <f t="shared" si="43"/>
        <v>152364.4</v>
      </c>
    </row>
    <row r="109" spans="1:8" ht="24.95" customHeight="1" x14ac:dyDescent="0.25">
      <c r="A109" s="184">
        <v>31</v>
      </c>
      <c r="B109" s="185"/>
      <c r="C109" s="186"/>
      <c r="D109" s="28" t="s">
        <v>15</v>
      </c>
      <c r="E109" s="50">
        <v>101262.38</v>
      </c>
      <c r="F109" s="50">
        <f>118821.96+6537.42+19605.6</f>
        <v>144964.98000000001</v>
      </c>
      <c r="G109" s="50">
        <f>144964.98+2975.51</f>
        <v>147940.49000000002</v>
      </c>
      <c r="H109" s="51">
        <f>147940.49+2990.39</f>
        <v>150930.88</v>
      </c>
    </row>
    <row r="110" spans="1:8" ht="24.95" customHeight="1" x14ac:dyDescent="0.25">
      <c r="A110" s="184">
        <v>32</v>
      </c>
      <c r="B110" s="185"/>
      <c r="C110" s="186"/>
      <c r="D110" s="28" t="s">
        <v>99</v>
      </c>
      <c r="E110" s="50">
        <v>1327.23</v>
      </c>
      <c r="F110" s="50">
        <f>1433.52</f>
        <v>1433.52</v>
      </c>
      <c r="G110" s="50">
        <v>1433.52</v>
      </c>
      <c r="H110" s="51">
        <v>1433.52</v>
      </c>
    </row>
    <row r="111" spans="1:8" ht="30.6" customHeight="1" x14ac:dyDescent="0.25">
      <c r="A111" s="190" t="s">
        <v>71</v>
      </c>
      <c r="B111" s="191"/>
      <c r="C111" s="192"/>
      <c r="D111" s="58" t="s">
        <v>97</v>
      </c>
      <c r="E111" s="66">
        <f>E113</f>
        <v>58000</v>
      </c>
      <c r="F111" s="66">
        <f>F113</f>
        <v>60000</v>
      </c>
      <c r="G111" s="66">
        <f t="shared" ref="G111:H111" si="44">G113</f>
        <v>60000</v>
      </c>
      <c r="H111" s="66">
        <f t="shared" si="44"/>
        <v>60000</v>
      </c>
    </row>
    <row r="112" spans="1:8" s="76" customFormat="1" ht="24.95" customHeight="1" x14ac:dyDescent="0.25">
      <c r="A112" s="181" t="s">
        <v>79</v>
      </c>
      <c r="B112" s="182"/>
      <c r="C112" s="183"/>
      <c r="D112" s="71" t="s">
        <v>12</v>
      </c>
      <c r="E112" s="72">
        <f>E113</f>
        <v>58000</v>
      </c>
      <c r="F112" s="72">
        <f>F113</f>
        <v>60000</v>
      </c>
      <c r="G112" s="72">
        <f t="shared" ref="G112:H113" si="45">G113</f>
        <v>60000</v>
      </c>
      <c r="H112" s="72">
        <f t="shared" si="45"/>
        <v>60000</v>
      </c>
    </row>
    <row r="113" spans="1:8" ht="24.95" customHeight="1" x14ac:dyDescent="0.25">
      <c r="A113" s="187">
        <v>3</v>
      </c>
      <c r="B113" s="188"/>
      <c r="C113" s="189"/>
      <c r="D113" s="28" t="s">
        <v>14</v>
      </c>
      <c r="E113" s="50">
        <f>E114</f>
        <v>58000</v>
      </c>
      <c r="F113" s="50">
        <f>F114</f>
        <v>60000</v>
      </c>
      <c r="G113" s="50">
        <f t="shared" si="45"/>
        <v>60000</v>
      </c>
      <c r="H113" s="50">
        <f t="shared" si="45"/>
        <v>60000</v>
      </c>
    </row>
    <row r="114" spans="1:8" ht="27.6" customHeight="1" x14ac:dyDescent="0.25">
      <c r="A114" s="184">
        <v>37</v>
      </c>
      <c r="B114" s="185"/>
      <c r="C114" s="186"/>
      <c r="D114" s="67" t="s">
        <v>37</v>
      </c>
      <c r="E114" s="50">
        <v>58000</v>
      </c>
      <c r="F114" s="50">
        <f>60000</f>
        <v>60000</v>
      </c>
      <c r="G114" s="50">
        <v>60000</v>
      </c>
      <c r="H114" s="51">
        <v>60000</v>
      </c>
    </row>
    <row r="115" spans="1:8" ht="24.95" customHeight="1" x14ac:dyDescent="0.25">
      <c r="A115" s="190" t="s">
        <v>72</v>
      </c>
      <c r="B115" s="191"/>
      <c r="C115" s="192"/>
      <c r="D115" s="58" t="s">
        <v>96</v>
      </c>
      <c r="E115" s="66">
        <f>E119+E122+E116</f>
        <v>32407.16</v>
      </c>
      <c r="F115" s="66">
        <f t="shared" ref="F115:H115" si="46">F119+F122+F116</f>
        <v>14659.27</v>
      </c>
      <c r="G115" s="66">
        <f t="shared" si="46"/>
        <v>14659.27</v>
      </c>
      <c r="H115" s="66">
        <f t="shared" si="46"/>
        <v>14659.27</v>
      </c>
    </row>
    <row r="116" spans="1:8" ht="24.95" customHeight="1" x14ac:dyDescent="0.25">
      <c r="A116" s="181" t="s">
        <v>79</v>
      </c>
      <c r="B116" s="182"/>
      <c r="C116" s="183"/>
      <c r="D116" s="110" t="s">
        <v>12</v>
      </c>
      <c r="E116" s="114">
        <f>E117</f>
        <v>3000</v>
      </c>
      <c r="F116" s="114">
        <f t="shared" ref="F116:H117" si="47">F117</f>
        <v>2000</v>
      </c>
      <c r="G116" s="114">
        <f t="shared" si="47"/>
        <v>2000</v>
      </c>
      <c r="H116" s="114">
        <f t="shared" si="47"/>
        <v>2000</v>
      </c>
    </row>
    <row r="117" spans="1:8" ht="24.95" customHeight="1" x14ac:dyDescent="0.25">
      <c r="A117" s="187">
        <v>3</v>
      </c>
      <c r="B117" s="188"/>
      <c r="C117" s="189"/>
      <c r="D117" s="109" t="s">
        <v>14</v>
      </c>
      <c r="E117" s="111">
        <f>E118</f>
        <v>3000</v>
      </c>
      <c r="F117" s="111">
        <f t="shared" si="47"/>
        <v>2000</v>
      </c>
      <c r="G117" s="111">
        <f t="shared" si="47"/>
        <v>2000</v>
      </c>
      <c r="H117" s="111">
        <f t="shared" si="47"/>
        <v>2000</v>
      </c>
    </row>
    <row r="118" spans="1:8" ht="24.95" customHeight="1" x14ac:dyDescent="0.25">
      <c r="A118" s="184">
        <v>32</v>
      </c>
      <c r="B118" s="185"/>
      <c r="C118" s="186"/>
      <c r="D118" s="109" t="s">
        <v>24</v>
      </c>
      <c r="E118" s="111">
        <v>3000</v>
      </c>
      <c r="F118" s="111">
        <v>2000</v>
      </c>
      <c r="G118" s="111">
        <v>2000</v>
      </c>
      <c r="H118" s="111">
        <v>2000</v>
      </c>
    </row>
    <row r="119" spans="1:8" s="76" customFormat="1" ht="24.95" customHeight="1" x14ac:dyDescent="0.25">
      <c r="A119" s="181" t="s">
        <v>78</v>
      </c>
      <c r="B119" s="182"/>
      <c r="C119" s="183"/>
      <c r="D119" s="71" t="s">
        <v>44</v>
      </c>
      <c r="E119" s="72">
        <f>E120</f>
        <v>4681.54</v>
      </c>
      <c r="F119" s="72">
        <f>F120</f>
        <v>1456.37</v>
      </c>
      <c r="G119" s="72">
        <f t="shared" ref="G119:H120" si="48">G120</f>
        <v>1456.37</v>
      </c>
      <c r="H119" s="72">
        <f t="shared" si="48"/>
        <v>1456.37</v>
      </c>
    </row>
    <row r="120" spans="1:8" ht="24.95" customHeight="1" x14ac:dyDescent="0.25">
      <c r="A120" s="187">
        <v>3</v>
      </c>
      <c r="B120" s="188"/>
      <c r="C120" s="189"/>
      <c r="D120" s="28" t="s">
        <v>14</v>
      </c>
      <c r="E120" s="50">
        <f>E121</f>
        <v>4681.54</v>
      </c>
      <c r="F120" s="50">
        <f>F121</f>
        <v>1456.37</v>
      </c>
      <c r="G120" s="50">
        <f t="shared" si="48"/>
        <v>1456.37</v>
      </c>
      <c r="H120" s="50">
        <f t="shared" si="48"/>
        <v>1456.37</v>
      </c>
    </row>
    <row r="121" spans="1:8" ht="24.95" customHeight="1" x14ac:dyDescent="0.25">
      <c r="A121" s="184">
        <v>32</v>
      </c>
      <c r="B121" s="185"/>
      <c r="C121" s="186"/>
      <c r="D121" s="59" t="s">
        <v>24</v>
      </c>
      <c r="E121" s="50">
        <v>4681.54</v>
      </c>
      <c r="F121" s="50">
        <v>1456.37</v>
      </c>
      <c r="G121" s="50">
        <v>1456.37</v>
      </c>
      <c r="H121" s="51">
        <v>1456.37</v>
      </c>
    </row>
    <row r="122" spans="1:8" s="76" customFormat="1" ht="24.95" customHeight="1" x14ac:dyDescent="0.25">
      <c r="A122" s="181" t="s">
        <v>95</v>
      </c>
      <c r="B122" s="182"/>
      <c r="C122" s="183"/>
      <c r="D122" s="71" t="s">
        <v>49</v>
      </c>
      <c r="E122" s="72">
        <f>E123</f>
        <v>24725.62</v>
      </c>
      <c r="F122" s="72">
        <f>F123</f>
        <v>11202.9</v>
      </c>
      <c r="G122" s="72">
        <f t="shared" ref="G122:H123" si="49">G123</f>
        <v>11202.9</v>
      </c>
      <c r="H122" s="72">
        <f t="shared" si="49"/>
        <v>11202.9</v>
      </c>
    </row>
    <row r="123" spans="1:8" ht="24.95" customHeight="1" x14ac:dyDescent="0.25">
      <c r="A123" s="187">
        <v>3</v>
      </c>
      <c r="B123" s="188"/>
      <c r="C123" s="189"/>
      <c r="D123" s="59" t="s">
        <v>14</v>
      </c>
      <c r="E123" s="50">
        <f>E124</f>
        <v>24725.62</v>
      </c>
      <c r="F123" s="50">
        <f>F124</f>
        <v>11202.9</v>
      </c>
      <c r="G123" s="50">
        <f t="shared" si="49"/>
        <v>11202.9</v>
      </c>
      <c r="H123" s="50">
        <f t="shared" si="49"/>
        <v>11202.9</v>
      </c>
    </row>
    <row r="124" spans="1:8" ht="24.95" customHeight="1" x14ac:dyDescent="0.25">
      <c r="A124" s="184">
        <v>32</v>
      </c>
      <c r="B124" s="185"/>
      <c r="C124" s="186"/>
      <c r="D124" s="59" t="s">
        <v>24</v>
      </c>
      <c r="E124" s="50">
        <v>24725.62</v>
      </c>
      <c r="F124" s="50">
        <v>11202.9</v>
      </c>
      <c r="G124" s="50">
        <v>11202.9</v>
      </c>
      <c r="H124" s="51">
        <v>11202.9</v>
      </c>
    </row>
    <row r="125" spans="1:8" ht="30" customHeight="1" x14ac:dyDescent="0.25">
      <c r="A125" s="190" t="s">
        <v>73</v>
      </c>
      <c r="B125" s="191"/>
      <c r="C125" s="192"/>
      <c r="D125" s="58" t="s">
        <v>94</v>
      </c>
      <c r="E125" s="66">
        <f>E126+E130+E134</f>
        <v>88290.55</v>
      </c>
      <c r="F125" s="66">
        <f>F126+F130+F134</f>
        <v>160239.09999999998</v>
      </c>
      <c r="G125" s="66">
        <f t="shared" ref="G125:H125" si="50">G126+G130+G134</f>
        <v>160239.1</v>
      </c>
      <c r="H125" s="66">
        <f t="shared" si="50"/>
        <v>160239.1</v>
      </c>
    </row>
    <row r="126" spans="1:8" s="76" customFormat="1" ht="24.95" customHeight="1" x14ac:dyDescent="0.25">
      <c r="A126" s="181" t="s">
        <v>79</v>
      </c>
      <c r="B126" s="182"/>
      <c r="C126" s="183"/>
      <c r="D126" s="71" t="s">
        <v>12</v>
      </c>
      <c r="E126" s="72">
        <f>E127</f>
        <v>12793.359999999999</v>
      </c>
      <c r="F126" s="72">
        <f>F127</f>
        <v>24885.869999999995</v>
      </c>
      <c r="G126" s="72">
        <f t="shared" ref="G126:H126" si="51">G127</f>
        <v>24885.870000000003</v>
      </c>
      <c r="H126" s="72">
        <f t="shared" si="51"/>
        <v>24885.870000000003</v>
      </c>
    </row>
    <row r="127" spans="1:8" ht="24.95" customHeight="1" x14ac:dyDescent="0.25">
      <c r="A127" s="187">
        <v>3</v>
      </c>
      <c r="B127" s="188"/>
      <c r="C127" s="189"/>
      <c r="D127" s="28" t="s">
        <v>14</v>
      </c>
      <c r="E127" s="50">
        <f>SUM(E128:E129)</f>
        <v>12793.359999999999</v>
      </c>
      <c r="F127" s="50">
        <f>SUM(F128:F129)</f>
        <v>24885.869999999995</v>
      </c>
      <c r="G127" s="50">
        <f t="shared" ref="G127:H127" si="52">SUM(G128:G129)</f>
        <v>24885.870000000003</v>
      </c>
      <c r="H127" s="50">
        <f t="shared" si="52"/>
        <v>24885.870000000003</v>
      </c>
    </row>
    <row r="128" spans="1:8" ht="24.95" customHeight="1" x14ac:dyDescent="0.25">
      <c r="A128" s="184">
        <v>31</v>
      </c>
      <c r="B128" s="185"/>
      <c r="C128" s="186"/>
      <c r="D128" s="29" t="s">
        <v>15</v>
      </c>
      <c r="E128" s="50">
        <v>11945.05</v>
      </c>
      <c r="F128" s="50">
        <f>17471.78+2265+2882.85</f>
        <v>22619.629999999997</v>
      </c>
      <c r="G128" s="50">
        <v>22619.63</v>
      </c>
      <c r="H128" s="51">
        <v>22619.63</v>
      </c>
    </row>
    <row r="129" spans="1:8" ht="24.95" customHeight="1" x14ac:dyDescent="0.25">
      <c r="A129" s="184">
        <v>32</v>
      </c>
      <c r="B129" s="185"/>
      <c r="C129" s="186"/>
      <c r="D129" s="59" t="s">
        <v>156</v>
      </c>
      <c r="E129" s="50">
        <v>848.31</v>
      </c>
      <c r="F129" s="50">
        <f>1266.24+1000</f>
        <v>2266.2399999999998</v>
      </c>
      <c r="G129" s="50">
        <v>2266.2399999999998</v>
      </c>
      <c r="H129" s="51">
        <v>2266.2399999999998</v>
      </c>
    </row>
    <row r="130" spans="1:8" s="76" customFormat="1" ht="24.95" customHeight="1" x14ac:dyDescent="0.25">
      <c r="A130" s="181" t="s">
        <v>78</v>
      </c>
      <c r="B130" s="182"/>
      <c r="C130" s="183"/>
      <c r="D130" s="71" t="s">
        <v>44</v>
      </c>
      <c r="E130" s="72">
        <f>E131</f>
        <v>13243.580000000002</v>
      </c>
      <c r="F130" s="72">
        <f>F131</f>
        <v>20302.98</v>
      </c>
      <c r="G130" s="72">
        <f t="shared" ref="G130:H130" si="53">G131</f>
        <v>20302.98</v>
      </c>
      <c r="H130" s="72">
        <f t="shared" si="53"/>
        <v>20302.98</v>
      </c>
    </row>
    <row r="131" spans="1:8" ht="24.95" customHeight="1" x14ac:dyDescent="0.25">
      <c r="A131" s="187">
        <v>3</v>
      </c>
      <c r="B131" s="188"/>
      <c r="C131" s="189"/>
      <c r="D131" s="57" t="s">
        <v>14</v>
      </c>
      <c r="E131" s="50">
        <f>SUM(E132:E133)</f>
        <v>13243.580000000002</v>
      </c>
      <c r="F131" s="50">
        <f>SUM(F132:F133)</f>
        <v>20302.98</v>
      </c>
      <c r="G131" s="50">
        <f t="shared" ref="G131:H131" si="54">SUM(G132:G133)</f>
        <v>20302.98</v>
      </c>
      <c r="H131" s="50">
        <f t="shared" si="54"/>
        <v>20302.98</v>
      </c>
    </row>
    <row r="132" spans="1:8" ht="24.95" customHeight="1" x14ac:dyDescent="0.25">
      <c r="A132" s="184">
        <v>31</v>
      </c>
      <c r="B132" s="185"/>
      <c r="C132" s="186"/>
      <c r="D132" s="57" t="s">
        <v>15</v>
      </c>
      <c r="E132" s="50">
        <v>11985.37</v>
      </c>
      <c r="F132" s="50">
        <f>14851.01+1925.25+2450.42</f>
        <v>19226.68</v>
      </c>
      <c r="G132" s="50">
        <v>19226.68</v>
      </c>
      <c r="H132" s="51">
        <v>19226.68</v>
      </c>
    </row>
    <row r="133" spans="1:8" ht="24.95" customHeight="1" x14ac:dyDescent="0.25">
      <c r="A133" s="184">
        <v>32</v>
      </c>
      <c r="B133" s="185"/>
      <c r="C133" s="186"/>
      <c r="D133" s="59" t="s">
        <v>99</v>
      </c>
      <c r="E133" s="50">
        <v>1258.21</v>
      </c>
      <c r="F133" s="50">
        <f>1076.3</f>
        <v>1076.3</v>
      </c>
      <c r="G133" s="50">
        <v>1076.3</v>
      </c>
      <c r="H133" s="51">
        <v>1076.3</v>
      </c>
    </row>
    <row r="134" spans="1:8" s="76" customFormat="1" ht="24.95" customHeight="1" x14ac:dyDescent="0.25">
      <c r="A134" s="181" t="s">
        <v>95</v>
      </c>
      <c r="B134" s="182"/>
      <c r="C134" s="183"/>
      <c r="D134" s="71" t="s">
        <v>49</v>
      </c>
      <c r="E134" s="72">
        <f>E135</f>
        <v>62253.61</v>
      </c>
      <c r="F134" s="72">
        <f>F135</f>
        <v>115050.25</v>
      </c>
      <c r="G134" s="72">
        <f t="shared" ref="G134:H134" si="55">G135</f>
        <v>115050.25</v>
      </c>
      <c r="H134" s="72">
        <f t="shared" si="55"/>
        <v>115050.25</v>
      </c>
    </row>
    <row r="135" spans="1:8" ht="24.95" customHeight="1" x14ac:dyDescent="0.25">
      <c r="A135" s="187">
        <v>3</v>
      </c>
      <c r="B135" s="188"/>
      <c r="C135" s="189"/>
      <c r="D135" s="57" t="s">
        <v>14</v>
      </c>
      <c r="E135" s="50">
        <f>SUM(E136:E137)</f>
        <v>62253.61</v>
      </c>
      <c r="F135" s="50">
        <f>SUM(F136:F137)</f>
        <v>115050.25</v>
      </c>
      <c r="G135" s="50">
        <f t="shared" ref="G135:H135" si="56">SUM(G136:G137)</f>
        <v>115050.25</v>
      </c>
      <c r="H135" s="50">
        <f t="shared" si="56"/>
        <v>115050.25</v>
      </c>
    </row>
    <row r="136" spans="1:8" ht="24.95" customHeight="1" x14ac:dyDescent="0.25">
      <c r="A136" s="184">
        <v>31</v>
      </c>
      <c r="B136" s="185"/>
      <c r="C136" s="186"/>
      <c r="D136" s="57" t="s">
        <v>15</v>
      </c>
      <c r="E136" s="50">
        <v>55972.05</v>
      </c>
      <c r="F136" s="50">
        <f>84155.71+10909.75+13885.73</f>
        <v>108951.19</v>
      </c>
      <c r="G136" s="50">
        <v>108951.19</v>
      </c>
      <c r="H136" s="51">
        <v>108951.19</v>
      </c>
    </row>
    <row r="137" spans="1:8" ht="24.95" customHeight="1" x14ac:dyDescent="0.25">
      <c r="A137" s="184">
        <v>32</v>
      </c>
      <c r="B137" s="185"/>
      <c r="C137" s="186"/>
      <c r="D137" s="59" t="s">
        <v>99</v>
      </c>
      <c r="E137" s="50">
        <v>6281.56</v>
      </c>
      <c r="F137" s="50">
        <f>6099.06</f>
        <v>6099.06</v>
      </c>
      <c r="G137" s="50">
        <v>6099.06</v>
      </c>
      <c r="H137" s="51">
        <v>6099.06</v>
      </c>
    </row>
    <row r="138" spans="1:8" ht="24.95" customHeight="1" x14ac:dyDescent="0.25">
      <c r="A138" s="190" t="s">
        <v>74</v>
      </c>
      <c r="B138" s="191"/>
      <c r="C138" s="192"/>
      <c r="D138" s="58" t="s">
        <v>75</v>
      </c>
      <c r="E138" s="66">
        <f>E139</f>
        <v>20178.43</v>
      </c>
      <c r="F138" s="66">
        <f>F139</f>
        <v>0</v>
      </c>
      <c r="G138" s="66">
        <f t="shared" ref="G138:H139" si="57">G139</f>
        <v>0</v>
      </c>
      <c r="H138" s="66">
        <f t="shared" si="57"/>
        <v>0</v>
      </c>
    </row>
    <row r="139" spans="1:8" s="76" customFormat="1" ht="24.95" customHeight="1" x14ac:dyDescent="0.25">
      <c r="A139" s="181" t="s">
        <v>79</v>
      </c>
      <c r="B139" s="182"/>
      <c r="C139" s="183"/>
      <c r="D139" s="71" t="s">
        <v>12</v>
      </c>
      <c r="E139" s="72">
        <f>E140</f>
        <v>20178.43</v>
      </c>
      <c r="F139" s="72">
        <f>F140</f>
        <v>0</v>
      </c>
      <c r="G139" s="72">
        <f t="shared" si="57"/>
        <v>0</v>
      </c>
      <c r="H139" s="72">
        <f t="shared" si="57"/>
        <v>0</v>
      </c>
    </row>
    <row r="140" spans="1:8" ht="24.95" customHeight="1" x14ac:dyDescent="0.25">
      <c r="A140" s="187">
        <v>3</v>
      </c>
      <c r="B140" s="188"/>
      <c r="C140" s="189"/>
      <c r="D140" s="28" t="s">
        <v>14</v>
      </c>
      <c r="E140" s="50">
        <f>E141+E142</f>
        <v>20178.43</v>
      </c>
      <c r="F140" s="50">
        <f>F141+F142</f>
        <v>0</v>
      </c>
      <c r="G140" s="50">
        <f t="shared" ref="G140:H140" si="58">G141+G142</f>
        <v>0</v>
      </c>
      <c r="H140" s="50">
        <f t="shared" si="58"/>
        <v>0</v>
      </c>
    </row>
    <row r="141" spans="1:8" ht="24.95" customHeight="1" x14ac:dyDescent="0.25">
      <c r="A141" s="184">
        <v>31</v>
      </c>
      <c r="B141" s="185"/>
      <c r="C141" s="186"/>
      <c r="D141" s="28" t="s">
        <v>15</v>
      </c>
      <c r="E141" s="50">
        <v>19915.64</v>
      </c>
      <c r="F141" s="50">
        <v>0</v>
      </c>
      <c r="G141" s="50">
        <v>0</v>
      </c>
      <c r="H141" s="51">
        <v>0</v>
      </c>
    </row>
    <row r="142" spans="1:8" ht="24.95" customHeight="1" x14ac:dyDescent="0.25">
      <c r="A142" s="184">
        <v>32</v>
      </c>
      <c r="B142" s="185"/>
      <c r="C142" s="186"/>
      <c r="D142" s="59" t="s">
        <v>99</v>
      </c>
      <c r="E142" s="50">
        <v>262.79000000000002</v>
      </c>
      <c r="F142" s="50">
        <v>0</v>
      </c>
      <c r="G142" s="50">
        <v>0</v>
      </c>
      <c r="H142" s="51">
        <v>0</v>
      </c>
    </row>
    <row r="143" spans="1:8" ht="24.95" customHeight="1" x14ac:dyDescent="0.25">
      <c r="A143" s="190" t="s">
        <v>76</v>
      </c>
      <c r="B143" s="191"/>
      <c r="C143" s="192"/>
      <c r="D143" s="58" t="s">
        <v>77</v>
      </c>
      <c r="E143" s="66">
        <f>E145</f>
        <v>17520.259999999998</v>
      </c>
      <c r="F143" s="66">
        <f>F145</f>
        <v>26188.92</v>
      </c>
      <c r="G143" s="66">
        <f t="shared" ref="G143:H143" si="59">G145</f>
        <v>26188.920000000002</v>
      </c>
      <c r="H143" s="66">
        <f t="shared" si="59"/>
        <v>26188.920000000002</v>
      </c>
    </row>
    <row r="144" spans="1:8" s="76" customFormat="1" ht="24.95" customHeight="1" x14ac:dyDescent="0.25">
      <c r="A144" s="181" t="s">
        <v>79</v>
      </c>
      <c r="B144" s="182"/>
      <c r="C144" s="183"/>
      <c r="D144" s="71" t="s">
        <v>12</v>
      </c>
      <c r="E144" s="72">
        <f>E145</f>
        <v>17520.259999999998</v>
      </c>
      <c r="F144" s="72">
        <f>F145</f>
        <v>26188.92</v>
      </c>
      <c r="G144" s="72">
        <f t="shared" ref="G144:H144" si="60">G145</f>
        <v>26188.920000000002</v>
      </c>
      <c r="H144" s="72">
        <f t="shared" si="60"/>
        <v>26188.920000000002</v>
      </c>
    </row>
    <row r="145" spans="1:8" ht="24.95" customHeight="1" x14ac:dyDescent="0.25">
      <c r="A145" s="187">
        <v>3</v>
      </c>
      <c r="B145" s="188"/>
      <c r="C145" s="189"/>
      <c r="D145" s="28" t="s">
        <v>14</v>
      </c>
      <c r="E145" s="50">
        <f>E146+E147</f>
        <v>17520.259999999998</v>
      </c>
      <c r="F145" s="50">
        <f>F146+F147</f>
        <v>26188.92</v>
      </c>
      <c r="G145" s="50">
        <f t="shared" ref="G145:H145" si="61">G146+G147</f>
        <v>26188.920000000002</v>
      </c>
      <c r="H145" s="50">
        <f t="shared" si="61"/>
        <v>26188.920000000002</v>
      </c>
    </row>
    <row r="146" spans="1:8" ht="24.95" customHeight="1" x14ac:dyDescent="0.25">
      <c r="A146" s="184">
        <v>31</v>
      </c>
      <c r="B146" s="185"/>
      <c r="C146" s="186"/>
      <c r="D146" s="28" t="s">
        <v>15</v>
      </c>
      <c r="E146" s="50">
        <v>17120.259999999998</v>
      </c>
      <c r="F146" s="50">
        <f>24088.8+900+722.28</f>
        <v>25711.079999999998</v>
      </c>
      <c r="G146" s="50">
        <v>25711.08</v>
      </c>
      <c r="H146" s="51">
        <v>25711.08</v>
      </c>
    </row>
    <row r="147" spans="1:8" ht="24.95" customHeight="1" x14ac:dyDescent="0.25">
      <c r="A147" s="184">
        <v>32</v>
      </c>
      <c r="B147" s="185"/>
      <c r="C147" s="186"/>
      <c r="D147" s="59" t="s">
        <v>99</v>
      </c>
      <c r="E147" s="50">
        <v>400</v>
      </c>
      <c r="F147" s="50">
        <f>477.84</f>
        <v>477.84</v>
      </c>
      <c r="G147" s="50">
        <v>477.84</v>
      </c>
      <c r="H147" s="51">
        <v>477.84</v>
      </c>
    </row>
    <row r="151" spans="1:8" ht="25.5" x14ac:dyDescent="0.25">
      <c r="A151" s="169"/>
      <c r="B151" s="196"/>
      <c r="C151" s="197"/>
      <c r="D151" s="14" t="s">
        <v>23</v>
      </c>
      <c r="E151" s="15" t="s">
        <v>146</v>
      </c>
      <c r="F151" s="15" t="s">
        <v>140</v>
      </c>
      <c r="G151" s="15" t="s">
        <v>29</v>
      </c>
      <c r="H151" s="15" t="s">
        <v>141</v>
      </c>
    </row>
    <row r="152" spans="1:8" x14ac:dyDescent="0.25">
      <c r="A152" s="83"/>
      <c r="B152" s="84"/>
      <c r="C152" s="85"/>
      <c r="D152" s="14" t="s">
        <v>25</v>
      </c>
      <c r="E152" s="86">
        <f>E153+E162</f>
        <v>3360308.1100000003</v>
      </c>
      <c r="F152" s="86">
        <f>F153+F162</f>
        <v>3975248.6300000004</v>
      </c>
      <c r="G152" s="86">
        <f>G153+G162</f>
        <v>3954326.65</v>
      </c>
      <c r="H152" s="86">
        <f>H153+H162</f>
        <v>3963297.8199999994</v>
      </c>
    </row>
    <row r="153" spans="1:8" ht="37.15" customHeight="1" x14ac:dyDescent="0.25">
      <c r="A153" s="193" t="s">
        <v>118</v>
      </c>
      <c r="B153" s="194"/>
      <c r="C153" s="195"/>
      <c r="D153" s="82" t="s">
        <v>119</v>
      </c>
      <c r="E153" s="68">
        <f>SUM(E154:E161)</f>
        <v>3039079.08</v>
      </c>
      <c r="F153" s="68">
        <f>SUM(F154:F161)</f>
        <v>3565572.9200000004</v>
      </c>
      <c r="G153" s="68">
        <f t="shared" ref="G153:H153" si="62">SUM(G154:G161)</f>
        <v>3541675.4299999997</v>
      </c>
      <c r="H153" s="68">
        <f t="shared" si="62"/>
        <v>3547656.2099999995</v>
      </c>
    </row>
    <row r="154" spans="1:8" ht="24.95" customHeight="1" x14ac:dyDescent="0.25">
      <c r="A154" s="190" t="s">
        <v>50</v>
      </c>
      <c r="B154" s="191"/>
      <c r="C154" s="192"/>
      <c r="D154" s="63" t="s">
        <v>51</v>
      </c>
      <c r="E154" s="80">
        <f>E7</f>
        <v>174685.75</v>
      </c>
      <c r="F154" s="80">
        <f t="shared" ref="F154:H154" si="63">F7</f>
        <v>194888.72</v>
      </c>
      <c r="G154" s="80">
        <f t="shared" si="63"/>
        <v>194888.72</v>
      </c>
      <c r="H154" s="80">
        <f t="shared" si="63"/>
        <v>194888.72</v>
      </c>
    </row>
    <row r="155" spans="1:8" ht="24.95" customHeight="1" x14ac:dyDescent="0.25">
      <c r="A155" s="190" t="s">
        <v>52</v>
      </c>
      <c r="B155" s="191"/>
      <c r="C155" s="192"/>
      <c r="D155" s="63" t="s">
        <v>53</v>
      </c>
      <c r="E155" s="80">
        <f>E11</f>
        <v>703.43</v>
      </c>
      <c r="F155" s="80">
        <f t="shared" ref="F155:H155" si="64">F11</f>
        <v>689.82</v>
      </c>
      <c r="G155" s="80">
        <f t="shared" si="64"/>
        <v>689.82</v>
      </c>
      <c r="H155" s="80">
        <f t="shared" si="64"/>
        <v>689.82</v>
      </c>
    </row>
    <row r="156" spans="1:8" ht="24.95" customHeight="1" x14ac:dyDescent="0.25">
      <c r="A156" s="190" t="s">
        <v>54</v>
      </c>
      <c r="B156" s="191"/>
      <c r="C156" s="192"/>
      <c r="D156" s="63" t="s">
        <v>55</v>
      </c>
      <c r="E156" s="80">
        <f>E15</f>
        <v>5043.47</v>
      </c>
      <c r="F156" s="80">
        <f t="shared" ref="F156:H156" si="65">F15</f>
        <v>40818.07</v>
      </c>
      <c r="G156" s="80">
        <f t="shared" si="65"/>
        <v>40818.07</v>
      </c>
      <c r="H156" s="80">
        <f t="shared" si="65"/>
        <v>40818.07</v>
      </c>
    </row>
    <row r="157" spans="1:8" ht="24.95" customHeight="1" x14ac:dyDescent="0.25">
      <c r="A157" s="190" t="s">
        <v>56</v>
      </c>
      <c r="B157" s="191"/>
      <c r="C157" s="192"/>
      <c r="D157" s="63" t="s">
        <v>57</v>
      </c>
      <c r="E157" s="80">
        <f>E19</f>
        <v>40000</v>
      </c>
      <c r="F157" s="80">
        <f t="shared" ref="F157:H157" si="66">F19</f>
        <v>72000</v>
      </c>
      <c r="G157" s="80">
        <f t="shared" si="66"/>
        <v>72000</v>
      </c>
      <c r="H157" s="80">
        <f t="shared" si="66"/>
        <v>72000</v>
      </c>
    </row>
    <row r="158" spans="1:8" ht="32.450000000000003" customHeight="1" x14ac:dyDescent="0.25">
      <c r="A158" s="190" t="s">
        <v>58</v>
      </c>
      <c r="B158" s="191"/>
      <c r="C158" s="192"/>
      <c r="D158" s="63" t="s">
        <v>59</v>
      </c>
      <c r="E158" s="80">
        <f>E23</f>
        <v>2376513.1900000004</v>
      </c>
      <c r="F158" s="80">
        <f t="shared" ref="F158:H158" si="67">F23</f>
        <v>2784861.6800000006</v>
      </c>
      <c r="G158" s="80">
        <f t="shared" si="67"/>
        <v>2771395.02</v>
      </c>
      <c r="H158" s="80">
        <f t="shared" si="67"/>
        <v>2777375.8</v>
      </c>
    </row>
    <row r="159" spans="1:8" ht="24.95" customHeight="1" x14ac:dyDescent="0.25">
      <c r="A159" s="190" t="s">
        <v>60</v>
      </c>
      <c r="B159" s="191"/>
      <c r="C159" s="192"/>
      <c r="D159" s="63" t="s">
        <v>61</v>
      </c>
      <c r="E159" s="80">
        <f>E49</f>
        <v>402123.68</v>
      </c>
      <c r="F159" s="80">
        <f t="shared" ref="F159:H159" si="68">F49</f>
        <v>434322.36999999994</v>
      </c>
      <c r="G159" s="80">
        <f t="shared" si="68"/>
        <v>427942.85</v>
      </c>
      <c r="H159" s="80">
        <f t="shared" si="68"/>
        <v>427942.85</v>
      </c>
    </row>
    <row r="160" spans="1:8" ht="24.95" customHeight="1" x14ac:dyDescent="0.25">
      <c r="A160" s="190" t="s">
        <v>62</v>
      </c>
      <c r="B160" s="191"/>
      <c r="C160" s="192"/>
      <c r="D160" s="63" t="s">
        <v>63</v>
      </c>
      <c r="E160" s="80">
        <f>E78</f>
        <v>359.26</v>
      </c>
      <c r="F160" s="80">
        <f t="shared" ref="F160:H160" si="69">F78</f>
        <v>490.15</v>
      </c>
      <c r="G160" s="80">
        <f t="shared" si="69"/>
        <v>490.15</v>
      </c>
      <c r="H160" s="80">
        <f t="shared" si="69"/>
        <v>490.15</v>
      </c>
    </row>
    <row r="161" spans="1:8" ht="24.95" customHeight="1" x14ac:dyDescent="0.25">
      <c r="A161" s="190" t="s">
        <v>64</v>
      </c>
      <c r="B161" s="191"/>
      <c r="C161" s="192"/>
      <c r="D161" s="63" t="s">
        <v>65</v>
      </c>
      <c r="E161" s="80">
        <f>E85</f>
        <v>39650.300000000003</v>
      </c>
      <c r="F161" s="80">
        <f t="shared" ref="F161:H161" si="70">F85</f>
        <v>37502.11</v>
      </c>
      <c r="G161" s="80">
        <f t="shared" si="70"/>
        <v>33450.800000000003</v>
      </c>
      <c r="H161" s="80">
        <f t="shared" si="70"/>
        <v>33450.800000000003</v>
      </c>
    </row>
    <row r="162" spans="1:8" ht="24.95" customHeight="1" x14ac:dyDescent="0.25">
      <c r="A162" s="193" t="s">
        <v>66</v>
      </c>
      <c r="B162" s="194"/>
      <c r="C162" s="195"/>
      <c r="D162" s="82" t="s">
        <v>67</v>
      </c>
      <c r="E162" s="68">
        <f>SUM(E163:E169)</f>
        <v>321229.03000000003</v>
      </c>
      <c r="F162" s="68">
        <f>SUM(F163:F169)</f>
        <v>409675.70999999996</v>
      </c>
      <c r="G162" s="68">
        <f t="shared" ref="G162:H162" si="71">SUM(G163:G169)</f>
        <v>412651.22000000003</v>
      </c>
      <c r="H162" s="68">
        <f t="shared" si="71"/>
        <v>415641.61</v>
      </c>
    </row>
    <row r="163" spans="1:8" ht="31.9" customHeight="1" x14ac:dyDescent="0.25">
      <c r="A163" s="190" t="s">
        <v>68</v>
      </c>
      <c r="B163" s="191"/>
      <c r="C163" s="192"/>
      <c r="D163" s="81" t="s">
        <v>98</v>
      </c>
      <c r="E163" s="80">
        <f>E101</f>
        <v>2243.02</v>
      </c>
      <c r="F163" s="80">
        <f t="shared" ref="F163:H163" si="72">F101</f>
        <v>2189.92</v>
      </c>
      <c r="G163" s="80">
        <f t="shared" si="72"/>
        <v>2189.92</v>
      </c>
      <c r="H163" s="80">
        <f t="shared" si="72"/>
        <v>2189.92</v>
      </c>
    </row>
    <row r="164" spans="1:8" ht="24.95" customHeight="1" x14ac:dyDescent="0.25">
      <c r="A164" s="190" t="s">
        <v>69</v>
      </c>
      <c r="B164" s="191"/>
      <c r="C164" s="192"/>
      <c r="D164" s="81" t="s">
        <v>70</v>
      </c>
      <c r="E164" s="80">
        <f>E106</f>
        <v>102589.61</v>
      </c>
      <c r="F164" s="80">
        <f t="shared" ref="F164:H164" si="73">F106</f>
        <v>146398.5</v>
      </c>
      <c r="G164" s="80">
        <f t="shared" si="73"/>
        <v>149374.01</v>
      </c>
      <c r="H164" s="80">
        <f t="shared" si="73"/>
        <v>152364.4</v>
      </c>
    </row>
    <row r="165" spans="1:8" ht="30.6" customHeight="1" x14ac:dyDescent="0.25">
      <c r="A165" s="190" t="s">
        <v>71</v>
      </c>
      <c r="B165" s="191"/>
      <c r="C165" s="192"/>
      <c r="D165" s="81" t="s">
        <v>97</v>
      </c>
      <c r="E165" s="80">
        <f>E111</f>
        <v>58000</v>
      </c>
      <c r="F165" s="80">
        <f t="shared" ref="F165:H165" si="74">F111</f>
        <v>60000</v>
      </c>
      <c r="G165" s="80">
        <f t="shared" si="74"/>
        <v>60000</v>
      </c>
      <c r="H165" s="80">
        <f t="shared" si="74"/>
        <v>60000</v>
      </c>
    </row>
    <row r="166" spans="1:8" ht="24.95" customHeight="1" x14ac:dyDescent="0.25">
      <c r="A166" s="190" t="s">
        <v>72</v>
      </c>
      <c r="B166" s="191"/>
      <c r="C166" s="192"/>
      <c r="D166" s="81" t="s">
        <v>96</v>
      </c>
      <c r="E166" s="80">
        <f>E115</f>
        <v>32407.16</v>
      </c>
      <c r="F166" s="80">
        <f t="shared" ref="F166:H166" si="75">F115</f>
        <v>14659.27</v>
      </c>
      <c r="G166" s="80">
        <f t="shared" si="75"/>
        <v>14659.27</v>
      </c>
      <c r="H166" s="80">
        <f t="shared" si="75"/>
        <v>14659.27</v>
      </c>
    </row>
    <row r="167" spans="1:8" ht="30" customHeight="1" x14ac:dyDescent="0.25">
      <c r="A167" s="190" t="s">
        <v>73</v>
      </c>
      <c r="B167" s="191"/>
      <c r="C167" s="192"/>
      <c r="D167" s="81" t="s">
        <v>94</v>
      </c>
      <c r="E167" s="80">
        <f>E125</f>
        <v>88290.55</v>
      </c>
      <c r="F167" s="80">
        <f t="shared" ref="F167:H167" si="76">F125</f>
        <v>160239.09999999998</v>
      </c>
      <c r="G167" s="80">
        <f t="shared" si="76"/>
        <v>160239.1</v>
      </c>
      <c r="H167" s="80">
        <f t="shared" si="76"/>
        <v>160239.1</v>
      </c>
    </row>
    <row r="168" spans="1:8" ht="24.95" customHeight="1" x14ac:dyDescent="0.25">
      <c r="A168" s="190" t="s">
        <v>74</v>
      </c>
      <c r="B168" s="191"/>
      <c r="C168" s="192"/>
      <c r="D168" s="81" t="s">
        <v>75</v>
      </c>
      <c r="E168" s="80">
        <f>E138</f>
        <v>20178.43</v>
      </c>
      <c r="F168" s="80">
        <f t="shared" ref="F168:H168" si="77">F138</f>
        <v>0</v>
      </c>
      <c r="G168" s="80">
        <f t="shared" si="77"/>
        <v>0</v>
      </c>
      <c r="H168" s="80">
        <f t="shared" si="77"/>
        <v>0</v>
      </c>
    </row>
    <row r="169" spans="1:8" ht="24.95" customHeight="1" x14ac:dyDescent="0.25">
      <c r="A169" s="190" t="s">
        <v>76</v>
      </c>
      <c r="B169" s="191"/>
      <c r="C169" s="192"/>
      <c r="D169" s="81" t="s">
        <v>77</v>
      </c>
      <c r="E169" s="80">
        <f>E143</f>
        <v>17520.259999999998</v>
      </c>
      <c r="F169" s="80">
        <f t="shared" ref="F169:H169" si="78">F143</f>
        <v>26188.92</v>
      </c>
      <c r="G169" s="80">
        <f t="shared" si="78"/>
        <v>26188.920000000002</v>
      </c>
      <c r="H169" s="80">
        <f t="shared" si="78"/>
        <v>26188.920000000002</v>
      </c>
    </row>
  </sheetData>
  <mergeCells count="157">
    <mergeCell ref="A118:C118"/>
    <mergeCell ref="A130:C130"/>
    <mergeCell ref="A143:C143"/>
    <mergeCell ref="A144:C144"/>
    <mergeCell ref="A145:C145"/>
    <mergeCell ref="A147:C147"/>
    <mergeCell ref="A133:C133"/>
    <mergeCell ref="A120:C120"/>
    <mergeCell ref="A124:C124"/>
    <mergeCell ref="A125:C125"/>
    <mergeCell ref="A126:C126"/>
    <mergeCell ref="A131:C131"/>
    <mergeCell ref="A132:C132"/>
    <mergeCell ref="A159:C159"/>
    <mergeCell ref="A160:C160"/>
    <mergeCell ref="A161:C161"/>
    <mergeCell ref="A151:C151"/>
    <mergeCell ref="A154:C154"/>
    <mergeCell ref="A155:C155"/>
    <mergeCell ref="A156:C156"/>
    <mergeCell ref="A157:C157"/>
    <mergeCell ref="A158:C158"/>
    <mergeCell ref="A25:C25"/>
    <mergeCell ref="A26:C26"/>
    <mergeCell ref="A97:C97"/>
    <mergeCell ref="A81:C81"/>
    <mergeCell ref="A83:C83"/>
    <mergeCell ref="A84:C84"/>
    <mergeCell ref="A92:C92"/>
    <mergeCell ref="A93:C93"/>
    <mergeCell ref="A96:C96"/>
    <mergeCell ref="A90:C90"/>
    <mergeCell ref="A91:C91"/>
    <mergeCell ref="A88:C88"/>
    <mergeCell ref="A89:C89"/>
    <mergeCell ref="A27:C27"/>
    <mergeCell ref="A28:C28"/>
    <mergeCell ref="A29:C29"/>
    <mergeCell ref="A30:C30"/>
    <mergeCell ref="A50:C50"/>
    <mergeCell ref="A51:C51"/>
    <mergeCell ref="A52:C52"/>
    <mergeCell ref="A53:C53"/>
    <mergeCell ref="A78:C78"/>
    <mergeCell ref="A54:C54"/>
    <mergeCell ref="A57:C57"/>
    <mergeCell ref="A55:C55"/>
    <mergeCell ref="A63:C63"/>
    <mergeCell ref="A64:C64"/>
    <mergeCell ref="A68:C68"/>
    <mergeCell ref="A69:C69"/>
    <mergeCell ref="A66:C66"/>
    <mergeCell ref="A70:C70"/>
    <mergeCell ref="A71:C71"/>
    <mergeCell ref="A77:C77"/>
    <mergeCell ref="A56:C56"/>
    <mergeCell ref="A59:C59"/>
    <mergeCell ref="A61:C61"/>
    <mergeCell ref="A35:C35"/>
    <mergeCell ref="A38:C38"/>
    <mergeCell ref="A39:C39"/>
    <mergeCell ref="A42:C42"/>
    <mergeCell ref="A49:C49"/>
    <mergeCell ref="A36:C36"/>
    <mergeCell ref="A33:C33"/>
    <mergeCell ref="A34:C34"/>
    <mergeCell ref="A31:C31"/>
    <mergeCell ref="A32:C32"/>
    <mergeCell ref="A47:C47"/>
    <mergeCell ref="A48:C48"/>
    <mergeCell ref="A46:C46"/>
    <mergeCell ref="A37:C37"/>
    <mergeCell ref="A10:C10"/>
    <mergeCell ref="A24:C24"/>
    <mergeCell ref="A17:C17"/>
    <mergeCell ref="A18:C18"/>
    <mergeCell ref="A21:C21"/>
    <mergeCell ref="A22:C22"/>
    <mergeCell ref="A15:C15"/>
    <mergeCell ref="A16:C16"/>
    <mergeCell ref="A19:C19"/>
    <mergeCell ref="A20:C20"/>
    <mergeCell ref="A23:C23"/>
    <mergeCell ref="A11:C11"/>
    <mergeCell ref="A12:C12"/>
    <mergeCell ref="A13:C13"/>
    <mergeCell ref="A6:C6"/>
    <mergeCell ref="A7:C7"/>
    <mergeCell ref="A1:H1"/>
    <mergeCell ref="A3:H3"/>
    <mergeCell ref="A5:C5"/>
    <mergeCell ref="A14:C14"/>
    <mergeCell ref="A128:C128"/>
    <mergeCell ref="A107:C107"/>
    <mergeCell ref="A108:C108"/>
    <mergeCell ref="A100:C100"/>
    <mergeCell ref="A101:C101"/>
    <mergeCell ref="A102:C102"/>
    <mergeCell ref="A103:C103"/>
    <mergeCell ref="A106:C106"/>
    <mergeCell ref="A105:C105"/>
    <mergeCell ref="A110:C110"/>
    <mergeCell ref="A111:C111"/>
    <mergeCell ref="A112:C112"/>
    <mergeCell ref="A113:C113"/>
    <mergeCell ref="A114:C114"/>
    <mergeCell ref="A115:C115"/>
    <mergeCell ref="A119:C119"/>
    <mergeCell ref="A8:C8"/>
    <mergeCell ref="A9:C9"/>
    <mergeCell ref="A165:C165"/>
    <mergeCell ref="A166:C166"/>
    <mergeCell ref="A167:C167"/>
    <mergeCell ref="A168:C168"/>
    <mergeCell ref="A169:C169"/>
    <mergeCell ref="A127:C127"/>
    <mergeCell ref="A129:C129"/>
    <mergeCell ref="A121:C121"/>
    <mergeCell ref="A122:C122"/>
    <mergeCell ref="A123:C123"/>
    <mergeCell ref="A153:C153"/>
    <mergeCell ref="A162:C162"/>
    <mergeCell ref="A163:C163"/>
    <mergeCell ref="A164:C164"/>
    <mergeCell ref="A141:C141"/>
    <mergeCell ref="A146:C146"/>
    <mergeCell ref="A138:C138"/>
    <mergeCell ref="A139:C139"/>
    <mergeCell ref="A140:C140"/>
    <mergeCell ref="A142:C142"/>
    <mergeCell ref="A134:C134"/>
    <mergeCell ref="A135:C135"/>
    <mergeCell ref="A136:C136"/>
    <mergeCell ref="A137:C137"/>
    <mergeCell ref="A94:C94"/>
    <mergeCell ref="A95:C95"/>
    <mergeCell ref="A104:C104"/>
    <mergeCell ref="A116:C116"/>
    <mergeCell ref="A117:C117"/>
    <mergeCell ref="A58:C58"/>
    <mergeCell ref="A60:C60"/>
    <mergeCell ref="A65:C65"/>
    <mergeCell ref="A67:C67"/>
    <mergeCell ref="A74:C74"/>
    <mergeCell ref="A109:C109"/>
    <mergeCell ref="A86:C86"/>
    <mergeCell ref="A82:C82"/>
    <mergeCell ref="A87:C87"/>
    <mergeCell ref="A99:C99"/>
    <mergeCell ref="A72:C72"/>
    <mergeCell ref="A73:C73"/>
    <mergeCell ref="A75:C75"/>
    <mergeCell ref="A76:C76"/>
    <mergeCell ref="A62:C62"/>
    <mergeCell ref="A79:C79"/>
    <mergeCell ref="A80:C80"/>
    <mergeCell ref="A85:C8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 Račun prihoda i rashoda po eko</vt:lpstr>
      <vt:lpstr>Prihodi i rashodi po izvorima</vt:lpstr>
      <vt:lpstr>Rashodi prema funkcijskoj kl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2023-10-21T09:57:07Z</cp:lastPrinted>
  <dcterms:created xsi:type="dcterms:W3CDTF">2022-08-12T12:51:27Z</dcterms:created>
  <dcterms:modified xsi:type="dcterms:W3CDTF">2023-10-24T10:06:47Z</dcterms:modified>
</cp:coreProperties>
</file>