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2120" windowHeight="9135" tabRatio="777"/>
  </bookViews>
  <sheets>
    <sheet name="OPĆI DIO-2017" sheetId="13" r:id="rId1"/>
    <sheet name="FP PiP 1-2017" sheetId="10" r:id="rId2"/>
    <sheet name="FP PiP 2-2018-19" sheetId="11" r:id="rId3"/>
    <sheet name="FP Ril-2017-18-19" sheetId="14" r:id="rId4"/>
  </sheets>
  <definedNames>
    <definedName name="_xlnm.Print_Titles" localSheetId="3">'FP Ril-2017-18-19'!$4:$5</definedName>
    <definedName name="_xlnm.Print_Area" localSheetId="1">'FP PiP 1-2017'!$A$1:$I$38</definedName>
  </definedNames>
  <calcPr calcId="144525"/>
</workbook>
</file>

<file path=xl/calcChain.xml><?xml version="1.0" encoding="utf-8"?>
<calcChain xmlns="http://schemas.openxmlformats.org/spreadsheetml/2006/main">
  <c r="I10" i="13" l="1"/>
  <c r="I11" i="13"/>
  <c r="E17" i="10" l="1"/>
  <c r="H21" i="14"/>
  <c r="E12" i="10"/>
  <c r="K16" i="14"/>
  <c r="K14" i="14"/>
  <c r="E11" i="10"/>
  <c r="K15" i="14"/>
  <c r="E33" i="10" l="1"/>
  <c r="I9" i="13"/>
  <c r="L61" i="14"/>
  <c r="K61" i="14"/>
  <c r="J61" i="14"/>
  <c r="I61" i="14"/>
  <c r="H61" i="14"/>
  <c r="G61" i="14"/>
  <c r="N62" i="14"/>
  <c r="F62" i="14" s="1"/>
  <c r="N25" i="14"/>
  <c r="B29" i="10"/>
  <c r="B30" i="10"/>
  <c r="I6" i="13"/>
  <c r="F26" i="14"/>
  <c r="H68" i="14"/>
  <c r="F58" i="14"/>
  <c r="K25" i="14"/>
  <c r="K22" i="14"/>
  <c r="K17" i="14"/>
  <c r="K71" i="14" s="1"/>
  <c r="J39" i="14"/>
  <c r="M20" i="14"/>
  <c r="M72" i="14" s="1"/>
  <c r="M12" i="14"/>
  <c r="L12" i="14"/>
  <c r="L50" i="14"/>
  <c r="M71" i="14"/>
  <c r="L37" i="14"/>
  <c r="F37" i="14"/>
  <c r="L33" i="14"/>
  <c r="L40" i="14"/>
  <c r="F40" i="14" s="1"/>
  <c r="L21" i="14"/>
  <c r="F21" i="14"/>
  <c r="L57" i="14"/>
  <c r="F57" i="14" s="1"/>
  <c r="F69" i="14"/>
  <c r="F70" i="14"/>
  <c r="F63" i="14"/>
  <c r="F64" i="14"/>
  <c r="F65" i="14"/>
  <c r="F66" i="14"/>
  <c r="F67" i="14"/>
  <c r="F51" i="14"/>
  <c r="F52" i="14"/>
  <c r="F53" i="14"/>
  <c r="F54" i="14"/>
  <c r="F24" i="14"/>
  <c r="F27" i="14"/>
  <c r="F28" i="14"/>
  <c r="F29" i="14"/>
  <c r="F30" i="14"/>
  <c r="F31" i="14"/>
  <c r="F32" i="14"/>
  <c r="F34" i="14"/>
  <c r="F35" i="14"/>
  <c r="F36" i="14"/>
  <c r="F41" i="14"/>
  <c r="F42" i="14"/>
  <c r="F43" i="14"/>
  <c r="F44" i="14"/>
  <c r="F45" i="14"/>
  <c r="F46" i="14"/>
  <c r="H23" i="14"/>
  <c r="F23" i="14" s="1"/>
  <c r="H39" i="14"/>
  <c r="F39" i="14" s="1"/>
  <c r="H25" i="14"/>
  <c r="H17" i="14"/>
  <c r="F17" i="14" s="1"/>
  <c r="H16" i="14"/>
  <c r="F16" i="14" s="1"/>
  <c r="H14" i="14"/>
  <c r="F14" i="14" s="1"/>
  <c r="H38" i="14"/>
  <c r="F38" i="14" s="1"/>
  <c r="H22" i="14"/>
  <c r="F22" i="14" s="1"/>
  <c r="H15" i="14"/>
  <c r="G25" i="14"/>
  <c r="Q72" i="14"/>
  <c r="Q71" i="14"/>
  <c r="R72" i="14"/>
  <c r="C72" i="14"/>
  <c r="R71" i="14"/>
  <c r="P71" i="14"/>
  <c r="O71" i="14"/>
  <c r="I71" i="14"/>
  <c r="C71" i="14"/>
  <c r="G68" i="14"/>
  <c r="F68" i="14" s="1"/>
  <c r="P61" i="14"/>
  <c r="O61" i="14"/>
  <c r="K56" i="14"/>
  <c r="P50" i="14"/>
  <c r="O50" i="14"/>
  <c r="N50" i="14"/>
  <c r="K50" i="14"/>
  <c r="J50" i="14"/>
  <c r="I50" i="14"/>
  <c r="H50" i="14"/>
  <c r="G50" i="14"/>
  <c r="J71" i="14"/>
  <c r="H20" i="14"/>
  <c r="T21" i="14"/>
  <c r="S21" i="14"/>
  <c r="P20" i="14"/>
  <c r="O20" i="14"/>
  <c r="K20" i="14"/>
  <c r="J20" i="14"/>
  <c r="I20" i="14"/>
  <c r="G20" i="14"/>
  <c r="H12" i="14"/>
  <c r="T12" i="14"/>
  <c r="S12" i="14"/>
  <c r="P12" i="14"/>
  <c r="P72" i="14" s="1"/>
  <c r="O12" i="14"/>
  <c r="O72" i="14" s="1"/>
  <c r="N12" i="14"/>
  <c r="J12" i="14"/>
  <c r="J72" i="14" s="1"/>
  <c r="I12" i="14"/>
  <c r="G12" i="14"/>
  <c r="G11" i="13"/>
  <c r="G10" i="13"/>
  <c r="G9" i="13" s="1"/>
  <c r="K9" i="13"/>
  <c r="J9" i="13"/>
  <c r="H9" i="13"/>
  <c r="F9" i="13"/>
  <c r="K6" i="13"/>
  <c r="J6" i="13"/>
  <c r="H6" i="13"/>
  <c r="H12" i="13" s="1"/>
  <c r="H22" i="13" s="1"/>
  <c r="G6" i="13"/>
  <c r="F6" i="13"/>
  <c r="F12" i="13" s="1"/>
  <c r="F22" i="13" s="1"/>
  <c r="C27" i="11"/>
  <c r="D27" i="11"/>
  <c r="E27" i="11"/>
  <c r="F27" i="11"/>
  <c r="G27" i="11"/>
  <c r="H27" i="11"/>
  <c r="I27" i="11"/>
  <c r="J27" i="11"/>
  <c r="I28" i="11" s="1"/>
  <c r="K27" i="11"/>
  <c r="L27" i="11"/>
  <c r="M27" i="11"/>
  <c r="N27" i="11"/>
  <c r="O27" i="11"/>
  <c r="B27" i="11"/>
  <c r="C33" i="10"/>
  <c r="D33" i="10"/>
  <c r="F33" i="10"/>
  <c r="G33" i="10"/>
  <c r="H33" i="10"/>
  <c r="B33" i="10"/>
  <c r="E71" i="14"/>
  <c r="H71" i="14"/>
  <c r="B28" i="11"/>
  <c r="K12" i="13"/>
  <c r="K22" i="13" s="1"/>
  <c r="J12" i="13"/>
  <c r="J22" i="13" s="1"/>
  <c r="E72" i="14"/>
  <c r="G12" i="13" l="1"/>
  <c r="G22" i="13" s="1"/>
  <c r="F50" i="14"/>
  <c r="B34" i="10"/>
  <c r="L20" i="14"/>
  <c r="L71" i="14"/>
  <c r="G72" i="14"/>
  <c r="N61" i="14"/>
  <c r="F61" i="14" s="1"/>
  <c r="I72" i="14"/>
  <c r="H72" i="14"/>
  <c r="K12" i="14"/>
  <c r="F12" i="14" s="1"/>
  <c r="F15" i="14"/>
  <c r="N71" i="14"/>
  <c r="N20" i="14"/>
  <c r="F25" i="14"/>
  <c r="F20" i="14"/>
  <c r="I12" i="13"/>
  <c r="I22" i="13" s="1"/>
  <c r="F56" i="14"/>
  <c r="L56" i="14"/>
  <c r="L72" i="14" s="1"/>
  <c r="G71" i="14"/>
  <c r="F33" i="14"/>
  <c r="N72" i="14" l="1"/>
  <c r="F71" i="14"/>
  <c r="F72" i="14"/>
  <c r="K72" i="14"/>
</calcChain>
</file>

<file path=xl/sharedStrings.xml><?xml version="1.0" encoding="utf-8"?>
<sst xmlns="http://schemas.openxmlformats.org/spreadsheetml/2006/main" count="190" uniqueCount="144">
  <si>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</si>
  <si>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</si>
  <si>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</si>
  <si>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</si>
  <si>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</si>
  <si>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</si>
  <si>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</si>
  <si>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</si>
  <si>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</si>
  <si>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</si>
  <si>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</si>
  <si>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</si>
  <si>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</si>
  <si>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</si>
  <si>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</si>
  <si>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</si>
  <si>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</si>
  <si>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</si>
  <si>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</si>
  <si>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</si>
  <si>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</si>
  <si>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</si>
  <si>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</si>
  <si>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</si>
  <si>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</si>
  <si>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</si>
  <si>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</si>
  <si>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</si>
  <si>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</si>
  <si>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</si>
  <si>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</si>
  <si>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Dopr.za obv.osig.u sl.nezap.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</si>
  <si>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</si>
  <si>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</si>
  <si>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</si>
  <si>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</si>
  <si>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</si>
  <si>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</si>
  <si>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</si>
  <si>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</si>
  <si>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</si>
  <si>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</si>
  <si>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</si>
  <si>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</si>
  <si>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</si>
  <si>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</si>
  <si>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</si>
  <si>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</si>
  <si>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</si>
  <si>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</si>
  <si>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</si>
  <si>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</si>
  <si>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</si>
  <si>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</si>
  <si>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</si>
  <si>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</si>
  <si>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</si>
  <si>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</si>
  <si>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</si>
  <si>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</si>
  <si>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</si>
  <si>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</si>
  <si>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</si>
  <si>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</si>
  <si>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</si>
  <si>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</si>
  <si>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</si>
  <si>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</si>
  <si>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</si>
  <si>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</si>
  <si>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</si>
  <si>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</si>
  <si>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</si>
  <si>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</si>
  <si>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</si>
  <si>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</si>
  <si>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</si>
  <si>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</si>
  <si>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</si>
  <si>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</si>
  <si>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</si>
  <si>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</si>
  <si>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2018.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</si>
  <si>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</si>
  <si>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</si>
  <si>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</si>
  <si>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</si>
  <si>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</si>
  <si>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</si>
  <si>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</si>
  <si>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6526-UPL.UČEN.ZA ŠTETE</t>
  </si>
  <si>
    <t>6614-VLASTITI PRIHODI UZ MARAŠKA</t>
  </si>
  <si>
    <t>6631-DRUŠTVO PED.TEH.KULTURE</t>
  </si>
  <si>
    <t>6631-HŠŠS NATJECANJA</t>
  </si>
  <si>
    <t>Negativne teč. razlike</t>
  </si>
  <si>
    <t>6341-HZZ stručno us. bez zasnivanja ro</t>
  </si>
  <si>
    <t>2019.</t>
  </si>
  <si>
    <t xml:space="preserve">Naziv </t>
  </si>
  <si>
    <t>PROJEKCIJA PLANA ZA
2019.</t>
  </si>
  <si>
    <t>RASHODI POSLOVANJA</t>
  </si>
  <si>
    <t>6361-MZOŠ - plaće, naknade</t>
  </si>
  <si>
    <t>6361-MZOŠ - projekti, mentorstva, ostalo</t>
  </si>
  <si>
    <t>6361-AGENC.ZA ODG.I OBRAZ.</t>
  </si>
  <si>
    <t>6361-ZD ŽUPANIJA NATJECANJA</t>
  </si>
  <si>
    <t>6415 -PRIHODI OD POZ.TEČ.RAZLIKA</t>
  </si>
  <si>
    <t>Opći prihodi i primici GRAD ZADAR</t>
  </si>
  <si>
    <t>Dodat.ulag.na postr. i opremi</t>
  </si>
  <si>
    <t>Tek. pom. tem. prij. EU sred.</t>
  </si>
  <si>
    <t>POM. DANE U INOZ. I UNUTAR OPĆEG PRORAČUNA</t>
  </si>
  <si>
    <t>Tek. prij. između pror. korisnika istog proračuna tem. prij. EU sredstava</t>
  </si>
  <si>
    <t>Ukupno prihodi i primici za 2019. i 2020.</t>
  </si>
  <si>
    <t>6631-DON PRAVNIH I FIZ OSOBA</t>
  </si>
  <si>
    <t>6361-MZO - projekti, mentorstva, ostalo</t>
  </si>
  <si>
    <t>6361-MZO - plaće, naknade</t>
  </si>
  <si>
    <t>Pomoći "ZadarZaDar"</t>
  </si>
  <si>
    <t xml:space="preserve">6381/2- PROJEKT "ZadarZaDar" </t>
  </si>
  <si>
    <t>Financijski plan
za 2017.</t>
  </si>
  <si>
    <t>Rebalans br.1 financijskog plana za 2017.</t>
  </si>
  <si>
    <t>Projekcija plana
za 2018.</t>
  </si>
  <si>
    <t>Projekcija plana 
za 2019.</t>
  </si>
  <si>
    <t>VIŠAK/MANJAK IZ PRETHODNE GODINE</t>
  </si>
  <si>
    <t>PLAN 
ZA 2017.</t>
  </si>
  <si>
    <t>REB.BR.1 FIN PLANA 2017.</t>
  </si>
  <si>
    <t>Rezultat iz 2016.</t>
  </si>
  <si>
    <t>PROJEKCIJA PLANA ZA
2018.</t>
  </si>
  <si>
    <t>2017.</t>
  </si>
  <si>
    <t>Prijedlog rebalansa br.3 financijskog plana za 2017.</t>
  </si>
  <si>
    <t>REB. BR.3 PLAN PRIHODA I PRIMITAKA</t>
  </si>
  <si>
    <t>REB. BR.3 PLAN PRIHODA I PRIMITAKA 2018. i  2019.</t>
  </si>
  <si>
    <t>6381/2 PROJEKT "ZadarZaDar"</t>
  </si>
  <si>
    <t>6415 -PRIHODI OD POZ TEČ RAZLIKA</t>
  </si>
  <si>
    <t>PRIJEDLOG REB.BR.3 FIN PLANA 2017.</t>
  </si>
  <si>
    <t>6526-PROJEKT PREHRANE</t>
  </si>
  <si>
    <t>Ukupno prihodi i primici za 2017.</t>
  </si>
  <si>
    <t>6362-MZO knjige za knjižnicu</t>
  </si>
  <si>
    <t>6381-ERASMUS KA2+</t>
  </si>
  <si>
    <t>6526-ZAKLADA "HRV. ZA DJECU"</t>
  </si>
  <si>
    <t>6631/2-DON PRAVNIH I FIZ OSOBA</t>
  </si>
  <si>
    <t>Pomoći "Erasmus KA2+"</t>
  </si>
  <si>
    <t>Materijal i sirovine</t>
  </si>
  <si>
    <t>REB.BR.2 FIN PLANA 2017.</t>
  </si>
  <si>
    <t>REB. BR.3 FINANCIJSKI PLAN 2017. - PLAN RASHODA I IZDATAKA</t>
  </si>
  <si>
    <t>Rebalans br.2 financijskog plana za 2017.</t>
  </si>
  <si>
    <t xml:space="preserve"> REBALANS BR.3 FINANCIJSKOG PLANA OŠ BARTULA KAŠIĆA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</si>
</sst>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2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right" vertical="center" wrapText="1"/>
    </xf>
    <xf numFmtId="0" fontId="6" fillId="1" borderId="4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1" borderId="2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right" vertical="center" wrapText="1"/>
    </xf>
    <xf numFmtId="0" fontId="4" fillId="1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" xfId="0" applyFont="1" applyBorder="1"/>
    <xf numFmtId="0" fontId="5" fillId="0" borderId="11" xfId="0" applyFont="1" applyBorder="1"/>
    <xf numFmtId="0" fontId="5" fillId="0" borderId="0" xfId="0" quotePrefix="1" applyFont="1"/>
    <xf numFmtId="0" fontId="11" fillId="0" borderId="0" xfId="0" applyFont="1"/>
    <xf numFmtId="3" fontId="5" fillId="0" borderId="0" xfId="0" applyNumberFormat="1" applyFont="1"/>
    <xf numFmtId="3" fontId="12" fillId="0" borderId="0" xfId="0" quotePrefix="1" applyNumberFormat="1" applyFont="1" applyAlignment="1">
      <alignment horizontal="left"/>
    </xf>
    <xf numFmtId="0" fontId="12" fillId="0" borderId="12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3" fontId="13" fillId="0" borderId="0" xfId="0" applyNumberFormat="1" applyFont="1"/>
    <xf numFmtId="3" fontId="13" fillId="0" borderId="13" xfId="0" applyNumberFormat="1" applyFont="1" applyBorder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wrapText="1"/>
    </xf>
    <xf numFmtId="3" fontId="14" fillId="0" borderId="0" xfId="0" quotePrefix="1" applyNumberFormat="1" applyFont="1" applyFill="1" applyBorder="1" applyAlignment="1">
      <alignment horizontal="left"/>
    </xf>
    <xf numFmtId="0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2" xfId="0" quotePrefix="1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horizontal="left" vertical="center"/>
    </xf>
    <xf numFmtId="0" fontId="13" fillId="0" borderId="15" xfId="0" quotePrefix="1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2" fillId="0" borderId="12" xfId="0" quotePrefix="1" applyNumberFormat="1" applyFont="1" applyBorder="1" applyAlignment="1">
      <alignment horizontal="center" vertical="center"/>
    </xf>
    <xf numFmtId="3" fontId="12" fillId="0" borderId="12" xfId="0" quotePrefix="1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5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12" fillId="0" borderId="15" xfId="0" applyNumberFormat="1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wrapText="1"/>
    </xf>
    <xf numFmtId="0" fontId="23" fillId="0" borderId="18" xfId="0" applyNumberFormat="1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/>
    <xf numFmtId="0" fontId="21" fillId="0" borderId="18" xfId="0" applyNumberFormat="1" applyFont="1" applyFill="1" applyBorder="1" applyAlignment="1" applyProtection="1"/>
    <xf numFmtId="0" fontId="5" fillId="0" borderId="20" xfId="0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 applyProtection="1">
      <alignment horizontal="center"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23" fillId="0" borderId="18" xfId="0" applyNumberFormat="1" applyFont="1" applyFill="1" applyBorder="1" applyAlignment="1" applyProtection="1">
      <alignment horizontal="center" wrapText="1"/>
    </xf>
    <xf numFmtId="0" fontId="15" fillId="0" borderId="21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6" xfId="0" applyFont="1" applyBorder="1"/>
    <xf numFmtId="0" fontId="15" fillId="0" borderId="17" xfId="0" applyFont="1" applyBorder="1"/>
    <xf numFmtId="0" fontId="15" fillId="0" borderId="23" xfId="0" applyFont="1" applyBorder="1"/>
    <xf numFmtId="3" fontId="24" fillId="0" borderId="14" xfId="0" quotePrefix="1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0" xfId="0" quotePrefix="1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/>
    <xf numFmtId="3" fontId="5" fillId="0" borderId="29" xfId="0" applyNumberFormat="1" applyFont="1" applyBorder="1"/>
    <xf numFmtId="3" fontId="28" fillId="0" borderId="27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 wrapText="1"/>
    </xf>
    <xf numFmtId="3" fontId="29" fillId="0" borderId="15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horizontal="center" vertical="center" wrapText="1"/>
    </xf>
    <xf numFmtId="3" fontId="5" fillId="0" borderId="18" xfId="0" applyNumberFormat="1" applyFont="1" applyFill="1" applyBorder="1"/>
    <xf numFmtId="0" fontId="1" fillId="0" borderId="6" xfId="0" applyFont="1" applyBorder="1"/>
    <xf numFmtId="3" fontId="28" fillId="0" borderId="18" xfId="0" applyNumberFormat="1" applyFont="1" applyBorder="1" applyAlignment="1">
      <alignment horizontal="right"/>
    </xf>
    <xf numFmtId="3" fontId="22" fillId="0" borderId="18" xfId="0" applyNumberFormat="1" applyFont="1" applyFill="1" applyBorder="1" applyAlignment="1" applyProtection="1">
      <alignment horizontal="center" wrapText="1"/>
    </xf>
    <xf numFmtId="3" fontId="22" fillId="0" borderId="18" xfId="0" applyNumberFormat="1" applyFont="1" applyFill="1" applyBorder="1" applyAlignment="1" applyProtection="1">
      <alignment horizontal="right" wrapText="1"/>
    </xf>
    <xf numFmtId="3" fontId="22" fillId="0" borderId="29" xfId="0" applyNumberFormat="1" applyFont="1" applyBorder="1" applyAlignment="1">
      <alignment horizontal="right"/>
    </xf>
    <xf numFmtId="0" fontId="12" fillId="0" borderId="0" xfId="0" applyFont="1"/>
    <xf numFmtId="3" fontId="13" fillId="0" borderId="13" xfId="0" applyNumberFormat="1" applyFont="1" applyBorder="1" applyAlignment="1">
      <alignment wrapText="1"/>
    </xf>
    <xf numFmtId="3" fontId="14" fillId="0" borderId="0" xfId="0" quotePrefix="1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Border="1"/>
    <xf numFmtId="3" fontId="3" fillId="0" borderId="6" xfId="0" applyNumberFormat="1" applyFont="1" applyBorder="1"/>
    <xf numFmtId="3" fontId="3" fillId="0" borderId="18" xfId="0" applyNumberFormat="1" applyFont="1" applyBorder="1"/>
    <xf numFmtId="3" fontId="3" fillId="0" borderId="29" xfId="0" applyNumberFormat="1" applyFont="1" applyBorder="1"/>
    <xf numFmtId="3" fontId="3" fillId="0" borderId="7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9" xfId="0" applyNumberForma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31" xfId="0" applyNumberFormat="1" applyBorder="1"/>
    <xf numFmtId="3" fontId="17" fillId="0" borderId="1" xfId="0" applyNumberFormat="1" applyFont="1" applyBorder="1"/>
    <xf numFmtId="0" fontId="16" fillId="0" borderId="0" xfId="0" applyFont="1" applyAlignment="1">
      <alignment horizontal="center" wrapText="1"/>
    </xf>
    <xf numFmtId="3" fontId="16" fillId="0" borderId="13" xfId="0" applyNumberFormat="1" applyFont="1" applyBorder="1"/>
    <xf numFmtId="3" fontId="16" fillId="0" borderId="0" xfId="0" applyNumberFormat="1" applyFont="1"/>
    <xf numFmtId="3" fontId="31" fillId="0" borderId="0" xfId="0" quotePrefix="1" applyNumberFormat="1" applyFont="1" applyFill="1" applyBorder="1" applyAlignment="1">
      <alignment horizontal="left"/>
    </xf>
    <xf numFmtId="0" fontId="17" fillId="0" borderId="14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/>
    <xf numFmtId="0" fontId="22" fillId="0" borderId="29" xfId="0" quotePrefix="1" applyFont="1" applyBorder="1" applyAlignment="1">
      <alignment horizontal="center" wrapText="1"/>
    </xf>
    <xf numFmtId="0" fontId="22" fillId="0" borderId="12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4" fillId="0" borderId="29" xfId="0" applyNumberFormat="1" applyFont="1" applyFill="1" applyBorder="1" applyAlignment="1" applyProtection="1">
      <alignment horizontal="left" wrapText="1"/>
    </xf>
    <xf numFmtId="0" fontId="25" fillId="0" borderId="12" xfId="0" applyNumberFormat="1" applyFont="1" applyFill="1" applyBorder="1" applyAlignment="1" applyProtection="1">
      <alignment wrapText="1"/>
    </xf>
    <xf numFmtId="0" fontId="25" fillId="0" borderId="12" xfId="0" applyNumberFormat="1" applyFont="1" applyFill="1" applyBorder="1" applyAlignment="1" applyProtection="1"/>
    <xf numFmtId="0" fontId="17" fillId="0" borderId="29" xfId="0" applyNumberFormat="1" applyFont="1" applyFill="1" applyBorder="1" applyAlignment="1" applyProtection="1">
      <alignment horizontal="left" wrapText="1"/>
    </xf>
    <xf numFmtId="0" fontId="16" fillId="0" borderId="12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/>
    <xf numFmtId="0" fontId="17" fillId="0" borderId="29" xfId="0" quotePrefix="1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17" fillId="0" borderId="29" xfId="0" quotePrefix="1" applyNumberFormat="1" applyFont="1" applyFill="1" applyBorder="1" applyAlignment="1" applyProtection="1">
      <alignment horizontal="left" wrapText="1"/>
    </xf>
    <xf numFmtId="0" fontId="1" fillId="0" borderId="12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12" xfId="0" quotePrefix="1" applyFont="1" applyBorder="1" applyAlignment="1">
      <alignment horizontal="center"/>
    </xf>
    <xf numFmtId="0" fontId="22" fillId="0" borderId="17" xfId="0" quotePrefix="1" applyFont="1" applyBorder="1" applyAlignment="1">
      <alignment horizontal="center"/>
    </xf>
    <xf numFmtId="0" fontId="22" fillId="0" borderId="29" xfId="0" applyNumberFormat="1" applyFont="1" applyFill="1" applyBorder="1" applyAlignment="1" applyProtection="1">
      <alignment horizontal="left" wrapText="1"/>
    </xf>
    <xf numFmtId="0" fontId="20" fillId="0" borderId="12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/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3" fontId="17" fillId="0" borderId="3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0" y="809625"/>
          <a:ext cx="217170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0" y="800100"/>
          <a:ext cx="217170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18927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sqref="A1:K1"/>
    </sheetView>
  </sheetViews>
  <sheetFormatPr defaultRowHeight="12.75" x14ac:dyDescent="0.2"/>
  <cols>
    <col min="5" max="5" width="26.28515625" customWidth="1"/>
    <col min="6" max="7" width="22.28515625" customWidth="1"/>
    <col min="8" max="9" width="24.7109375" customWidth="1"/>
    <col min="10" max="10" width="26" customWidth="1"/>
    <col min="11" max="11" width="33.7109375" customWidth="1"/>
  </cols>
  <sheetData>
    <row r="1" spans="1:12" s="62" customFormat="1" ht="69" customHeight="1" x14ac:dyDescent="0.2">
      <c r="A1" s="147" t="s">
        <v>143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s="63" customFormat="1" ht="51.75" customHeight="1" x14ac:dyDescent="0.2">
      <c r="A2" s="147" t="s">
        <v>68</v>
      </c>
      <c r="B2" s="147"/>
      <c r="C2" s="147"/>
      <c r="D2" s="147"/>
      <c r="E2" s="147"/>
      <c r="F2" s="147"/>
      <c r="G2" s="147"/>
      <c r="H2" s="147"/>
      <c r="I2" s="147"/>
      <c r="J2" s="148"/>
      <c r="K2" s="148"/>
    </row>
    <row r="3" spans="1:12" s="62" customFormat="1" ht="24.7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</row>
    <row r="4" spans="1:12" s="62" customFormat="1" ht="14.25" customHeight="1" x14ac:dyDescent="0.25">
      <c r="A4" s="64"/>
      <c r="B4" s="65"/>
      <c r="C4" s="65"/>
      <c r="D4" s="65"/>
      <c r="E4" s="65"/>
    </row>
    <row r="5" spans="1:12" s="62" customFormat="1" ht="49.5" customHeight="1" x14ac:dyDescent="0.25">
      <c r="A5" s="150"/>
      <c r="B5" s="151"/>
      <c r="C5" s="151"/>
      <c r="D5" s="151"/>
      <c r="E5" s="152"/>
      <c r="F5" s="77" t="s">
        <v>116</v>
      </c>
      <c r="G5" s="77" t="s">
        <v>117</v>
      </c>
      <c r="H5" s="77" t="s">
        <v>142</v>
      </c>
      <c r="I5" s="77" t="s">
        <v>126</v>
      </c>
      <c r="J5" s="77" t="s">
        <v>118</v>
      </c>
      <c r="K5" s="66" t="s">
        <v>119</v>
      </c>
      <c r="L5" s="67"/>
    </row>
    <row r="6" spans="1:12" s="62" customFormat="1" ht="44.25" customHeight="1" x14ac:dyDescent="0.25">
      <c r="A6" s="153" t="s">
        <v>69</v>
      </c>
      <c r="B6" s="154"/>
      <c r="C6" s="154"/>
      <c r="D6" s="154"/>
      <c r="E6" s="155"/>
      <c r="F6" s="108">
        <f t="shared" ref="F6:K6" si="0">F7+F8</f>
        <v>13570071</v>
      </c>
      <c r="G6" s="108">
        <f t="shared" si="0"/>
        <v>14190941</v>
      </c>
      <c r="H6" s="108">
        <f t="shared" si="0"/>
        <v>14654692</v>
      </c>
      <c r="I6" s="108">
        <f t="shared" si="0"/>
        <v>14624902</v>
      </c>
      <c r="J6" s="108">
        <f t="shared" si="0"/>
        <v>15617940</v>
      </c>
      <c r="K6" s="108">
        <f t="shared" si="0"/>
        <v>15133154</v>
      </c>
      <c r="L6" s="68"/>
    </row>
    <row r="7" spans="1:12" s="62" customFormat="1" ht="38.25" customHeight="1" x14ac:dyDescent="0.25">
      <c r="A7" s="156" t="s">
        <v>70</v>
      </c>
      <c r="B7" s="157"/>
      <c r="C7" s="157"/>
      <c r="D7" s="157"/>
      <c r="E7" s="158"/>
      <c r="F7" s="73">
        <v>13570071</v>
      </c>
      <c r="G7" s="73">
        <v>14190941</v>
      </c>
      <c r="H7" s="73">
        <v>14654692</v>
      </c>
      <c r="I7" s="73">
        <v>14624902</v>
      </c>
      <c r="J7" s="73">
        <v>15617940</v>
      </c>
      <c r="K7" s="73">
        <v>15133154</v>
      </c>
    </row>
    <row r="8" spans="1:12" s="62" customFormat="1" ht="37.5" customHeight="1" x14ac:dyDescent="0.25">
      <c r="A8" s="159" t="s">
        <v>71</v>
      </c>
      <c r="B8" s="158"/>
      <c r="C8" s="158"/>
      <c r="D8" s="158"/>
      <c r="E8" s="158"/>
      <c r="F8" s="69"/>
      <c r="G8" s="69"/>
      <c r="H8" s="69"/>
      <c r="I8" s="69"/>
      <c r="J8" s="69"/>
      <c r="K8" s="69"/>
    </row>
    <row r="9" spans="1:12" s="62" customFormat="1" ht="36" customHeight="1" x14ac:dyDescent="0.25">
      <c r="A9" s="160" t="s">
        <v>72</v>
      </c>
      <c r="B9" s="161"/>
      <c r="C9" s="161"/>
      <c r="D9" s="161"/>
      <c r="E9" s="162"/>
      <c r="F9" s="108">
        <f t="shared" ref="F9:K9" si="1">F10+F11</f>
        <v>13570071</v>
      </c>
      <c r="G9" s="108">
        <f t="shared" si="1"/>
        <v>14112365</v>
      </c>
      <c r="H9" s="108">
        <f t="shared" si="1"/>
        <v>14576116</v>
      </c>
      <c r="I9" s="108">
        <f t="shared" si="1"/>
        <v>14546326.16</v>
      </c>
      <c r="J9" s="108">
        <f t="shared" si="1"/>
        <v>15617940</v>
      </c>
      <c r="K9" s="108">
        <f t="shared" si="1"/>
        <v>15133154</v>
      </c>
    </row>
    <row r="10" spans="1:12" s="62" customFormat="1" ht="34.5" customHeight="1" x14ac:dyDescent="0.25">
      <c r="A10" s="163" t="s">
        <v>73</v>
      </c>
      <c r="B10" s="157"/>
      <c r="C10" s="157"/>
      <c r="D10" s="157"/>
      <c r="E10" s="164"/>
      <c r="F10" s="73">
        <v>13066071</v>
      </c>
      <c r="G10" s="73">
        <f>11400322+2192641+10980</f>
        <v>13603943</v>
      </c>
      <c r="H10" s="73">
        <v>14040341</v>
      </c>
      <c r="I10" s="73">
        <f>11800281.63+2178297.6+9980+4156.57</f>
        <v>13992715.800000001</v>
      </c>
      <c r="J10" s="73">
        <v>14710390</v>
      </c>
      <c r="K10" s="73">
        <v>14533154</v>
      </c>
    </row>
    <row r="11" spans="1:12" s="62" customFormat="1" ht="34.5" customHeight="1" x14ac:dyDescent="0.25">
      <c r="A11" s="159" t="s">
        <v>74</v>
      </c>
      <c r="B11" s="158"/>
      <c r="C11" s="158"/>
      <c r="D11" s="158"/>
      <c r="E11" s="158"/>
      <c r="F11" s="73">
        <v>504000</v>
      </c>
      <c r="G11" s="73">
        <f>106000+402422</f>
        <v>508422</v>
      </c>
      <c r="H11" s="73">
        <v>535775</v>
      </c>
      <c r="I11" s="73">
        <f>143099.36+410511</f>
        <v>553610.36</v>
      </c>
      <c r="J11" s="73">
        <v>907550</v>
      </c>
      <c r="K11" s="73">
        <v>600000</v>
      </c>
    </row>
    <row r="12" spans="1:12" s="62" customFormat="1" ht="35.25" customHeight="1" x14ac:dyDescent="0.25">
      <c r="A12" s="163" t="s">
        <v>75</v>
      </c>
      <c r="B12" s="157"/>
      <c r="C12" s="157"/>
      <c r="D12" s="157"/>
      <c r="E12" s="157"/>
      <c r="F12" s="109">
        <f t="shared" ref="F12:K12" si="2">+F6-F9</f>
        <v>0</v>
      </c>
      <c r="G12" s="109">
        <f t="shared" si="2"/>
        <v>78576</v>
      </c>
      <c r="H12" s="109">
        <f t="shared" si="2"/>
        <v>78576</v>
      </c>
      <c r="I12" s="109">
        <f t="shared" si="2"/>
        <v>78575.839999999851</v>
      </c>
      <c r="J12" s="109">
        <f t="shared" si="2"/>
        <v>0</v>
      </c>
      <c r="K12" s="109">
        <f t="shared" si="2"/>
        <v>0</v>
      </c>
    </row>
    <row r="13" spans="1:12" s="62" customFormat="1" ht="39.75" customHeight="1" x14ac:dyDescent="0.2">
      <c r="A13" s="147"/>
      <c r="B13" s="165"/>
      <c r="C13" s="165"/>
      <c r="D13" s="165"/>
      <c r="E13" s="165"/>
      <c r="F13" s="149"/>
      <c r="G13" s="149"/>
      <c r="H13" s="149"/>
      <c r="I13" s="149"/>
      <c r="J13" s="149"/>
      <c r="K13" s="149"/>
    </row>
    <row r="14" spans="1:12" s="62" customFormat="1" ht="45" customHeight="1" x14ac:dyDescent="0.25">
      <c r="A14" s="150"/>
      <c r="B14" s="151"/>
      <c r="C14" s="151"/>
      <c r="D14" s="151"/>
      <c r="E14" s="152"/>
      <c r="F14" s="77" t="s">
        <v>116</v>
      </c>
      <c r="G14" s="77" t="s">
        <v>117</v>
      </c>
      <c r="H14" s="77" t="s">
        <v>142</v>
      </c>
      <c r="I14" s="77" t="s">
        <v>126</v>
      </c>
      <c r="J14" s="77" t="s">
        <v>118</v>
      </c>
      <c r="K14" s="66" t="s">
        <v>119</v>
      </c>
    </row>
    <row r="15" spans="1:12" s="62" customFormat="1" ht="36.75" customHeight="1" x14ac:dyDescent="0.25">
      <c r="A15" s="168" t="s">
        <v>120</v>
      </c>
      <c r="B15" s="169"/>
      <c r="C15" s="169"/>
      <c r="D15" s="169"/>
      <c r="E15" s="170"/>
      <c r="F15" s="110"/>
      <c r="G15" s="110">
        <v>-78576.13</v>
      </c>
      <c r="H15" s="110">
        <v>-78576.13</v>
      </c>
      <c r="I15" s="110">
        <v>-78576.13</v>
      </c>
      <c r="J15" s="110"/>
      <c r="K15" s="109"/>
    </row>
    <row r="16" spans="1:12" s="70" customFormat="1" ht="45.75" customHeight="1" x14ac:dyDescent="0.25">
      <c r="A16" s="171"/>
      <c r="B16" s="165"/>
      <c r="C16" s="165"/>
      <c r="D16" s="165"/>
      <c r="E16" s="165"/>
      <c r="F16" s="149"/>
      <c r="G16" s="149"/>
      <c r="H16" s="149"/>
      <c r="I16" s="149"/>
      <c r="J16" s="149"/>
      <c r="K16" s="149"/>
    </row>
    <row r="17" spans="1:11" s="70" customFormat="1" ht="47.25" customHeight="1" x14ac:dyDescent="0.25">
      <c r="A17" s="150"/>
      <c r="B17" s="151"/>
      <c r="C17" s="151"/>
      <c r="D17" s="151"/>
      <c r="E17" s="152"/>
      <c r="F17" s="77" t="s">
        <v>116</v>
      </c>
      <c r="G17" s="77" t="s">
        <v>117</v>
      </c>
      <c r="H17" s="77" t="s">
        <v>142</v>
      </c>
      <c r="I17" s="77" t="s">
        <v>126</v>
      </c>
      <c r="J17" s="77" t="s">
        <v>118</v>
      </c>
      <c r="K17" s="66" t="s">
        <v>119</v>
      </c>
    </row>
    <row r="18" spans="1:11" s="70" customFormat="1" ht="30" customHeight="1" x14ac:dyDescent="0.25">
      <c r="A18" s="156" t="s">
        <v>76</v>
      </c>
      <c r="B18" s="157"/>
      <c r="C18" s="157"/>
      <c r="D18" s="157"/>
      <c r="E18" s="157"/>
      <c r="F18" s="69"/>
      <c r="G18" s="69"/>
      <c r="H18" s="69"/>
      <c r="I18" s="69"/>
      <c r="J18" s="69"/>
      <c r="K18" s="69"/>
    </row>
    <row r="19" spans="1:11" s="70" customFormat="1" ht="30" customHeight="1" x14ac:dyDescent="0.25">
      <c r="A19" s="156" t="s">
        <v>77</v>
      </c>
      <c r="B19" s="157"/>
      <c r="C19" s="157"/>
      <c r="D19" s="157"/>
      <c r="E19" s="157"/>
      <c r="F19" s="69"/>
      <c r="G19" s="69"/>
      <c r="H19" s="69"/>
      <c r="I19" s="69"/>
      <c r="J19" s="69"/>
      <c r="K19" s="69"/>
    </row>
    <row r="20" spans="1:11" s="70" customFormat="1" ht="30" customHeight="1" x14ac:dyDescent="0.25">
      <c r="A20" s="163" t="s">
        <v>78</v>
      </c>
      <c r="B20" s="157"/>
      <c r="C20" s="157"/>
      <c r="D20" s="157"/>
      <c r="E20" s="157"/>
      <c r="F20" s="69"/>
      <c r="G20" s="69"/>
      <c r="H20" s="69"/>
      <c r="I20" s="69"/>
      <c r="J20" s="69"/>
      <c r="K20" s="69"/>
    </row>
    <row r="21" spans="1:11" s="70" customFormat="1" ht="32.25" customHeight="1" x14ac:dyDescent="0.25">
      <c r="A21" s="166"/>
      <c r="B21" s="166"/>
      <c r="C21" s="166"/>
      <c r="D21" s="166"/>
      <c r="E21" s="167"/>
      <c r="F21" s="71"/>
      <c r="G21" s="71"/>
      <c r="H21" s="71"/>
      <c r="I21" s="71"/>
      <c r="J21" s="71"/>
      <c r="K21" s="71"/>
    </row>
    <row r="22" spans="1:11" s="70" customFormat="1" ht="41.25" customHeight="1" x14ac:dyDescent="0.25">
      <c r="A22" s="163" t="s">
        <v>79</v>
      </c>
      <c r="B22" s="157"/>
      <c r="C22" s="157"/>
      <c r="D22" s="157"/>
      <c r="E22" s="157"/>
      <c r="F22" s="69">
        <f t="shared" ref="F22:K22" si="3">SUM(F12,F15,F20)</f>
        <v>0</v>
      </c>
      <c r="G22" s="69">
        <f t="shared" si="3"/>
        <v>-0.13000000000465661</v>
      </c>
      <c r="H22" s="69">
        <f t="shared" si="3"/>
        <v>-0.13000000000465661</v>
      </c>
      <c r="I22" s="69">
        <f t="shared" si="3"/>
        <v>-0.29000000015366822</v>
      </c>
      <c r="J22" s="69">
        <f t="shared" si="3"/>
        <v>0</v>
      </c>
      <c r="K22" s="69">
        <f t="shared" si="3"/>
        <v>0</v>
      </c>
    </row>
  </sheetData>
  <mergeCells count="21">
    <mergeCell ref="A12:E12"/>
    <mergeCell ref="A13:K13"/>
    <mergeCell ref="A20:E20"/>
    <mergeCell ref="A21:E21"/>
    <mergeCell ref="A22:E22"/>
    <mergeCell ref="A14:E14"/>
    <mergeCell ref="A15:E15"/>
    <mergeCell ref="A16:K16"/>
    <mergeCell ref="A17:E17"/>
    <mergeCell ref="A18:E18"/>
    <mergeCell ref="A19:E19"/>
    <mergeCell ref="A7:E7"/>
    <mergeCell ref="A8:E8"/>
    <mergeCell ref="A9:E9"/>
    <mergeCell ref="A10:E10"/>
    <mergeCell ref="A11:E11"/>
    <mergeCell ref="A1:K1"/>
    <mergeCell ref="A2:K2"/>
    <mergeCell ref="A3:K3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46" zoomScale="80" zoomScaleNormal="80" workbookViewId="0">
      <selection activeCell="B34" sqref="B34:H34"/>
    </sheetView>
  </sheetViews>
  <sheetFormatPr defaultRowHeight="12.75" x14ac:dyDescent="0.2"/>
  <cols>
    <col min="1" max="1" width="40.5703125" customWidth="1"/>
    <col min="2" max="2" width="25.285156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H1" s="22" t="s">
        <v>13</v>
      </c>
    </row>
    <row r="3" spans="1:9" s="3" customFormat="1" ht="20.25" x14ac:dyDescent="0.3">
      <c r="A3" s="177" t="s">
        <v>127</v>
      </c>
      <c r="B3" s="177"/>
      <c r="C3" s="177"/>
      <c r="D3" s="177"/>
      <c r="E3" s="177"/>
      <c r="F3" s="177"/>
      <c r="G3" s="177"/>
      <c r="H3" s="177"/>
    </row>
    <row r="4" spans="1:9" s="3" customFormat="1" ht="15.75" customHeight="1" x14ac:dyDescent="0.25">
      <c r="A4" s="178"/>
      <c r="B4" s="179"/>
      <c r="C4" s="179"/>
      <c r="D4" s="179"/>
      <c r="E4" s="179"/>
      <c r="F4" s="179"/>
      <c r="G4" s="179"/>
      <c r="H4" s="179"/>
      <c r="I4" s="4"/>
    </row>
    <row r="5" spans="1:9" s="3" customFormat="1" ht="15" hidden="1" x14ac:dyDescent="0.2"/>
    <row r="6" spans="1:9" s="3" customFormat="1" ht="15.75" thickBot="1" x14ac:dyDescent="0.25">
      <c r="H6" s="9" t="s">
        <v>1</v>
      </c>
    </row>
    <row r="7" spans="1:9" s="3" customFormat="1" ht="16.5" thickBot="1" x14ac:dyDescent="0.3">
      <c r="A7" s="10" t="s">
        <v>3</v>
      </c>
      <c r="B7" s="180" t="s">
        <v>125</v>
      </c>
      <c r="C7" s="181"/>
      <c r="D7" s="181"/>
      <c r="E7" s="181"/>
      <c r="F7" s="181"/>
      <c r="G7" s="181"/>
      <c r="H7" s="182"/>
    </row>
    <row r="8" spans="1:9" s="3" customFormat="1" ht="15.75" customHeight="1" x14ac:dyDescent="0.2">
      <c r="A8" s="11" t="s">
        <v>17</v>
      </c>
      <c r="B8" s="183" t="s">
        <v>4</v>
      </c>
      <c r="C8" s="185" t="s">
        <v>5</v>
      </c>
      <c r="D8" s="185" t="s">
        <v>6</v>
      </c>
      <c r="E8" s="187" t="s">
        <v>7</v>
      </c>
      <c r="F8" s="187" t="s">
        <v>0</v>
      </c>
      <c r="G8" s="189" t="s">
        <v>80</v>
      </c>
      <c r="H8" s="191" t="s">
        <v>81</v>
      </c>
    </row>
    <row r="9" spans="1:9" s="3" customFormat="1" ht="60.75" customHeight="1" thickBot="1" x14ac:dyDescent="0.3">
      <c r="A9" s="12" t="s">
        <v>16</v>
      </c>
      <c r="B9" s="184"/>
      <c r="C9" s="186"/>
      <c r="D9" s="186"/>
      <c r="E9" s="188"/>
      <c r="F9" s="188"/>
      <c r="G9" s="190"/>
      <c r="H9" s="192"/>
    </row>
    <row r="10" spans="1:9" s="3" customFormat="1" ht="30" customHeight="1" x14ac:dyDescent="0.2">
      <c r="A10" s="74" t="s">
        <v>95</v>
      </c>
      <c r="B10" s="89"/>
      <c r="C10" s="90"/>
      <c r="D10" s="90"/>
      <c r="E10" s="91">
        <v>28231.68</v>
      </c>
      <c r="F10" s="92"/>
      <c r="G10" s="93"/>
      <c r="H10" s="13"/>
    </row>
    <row r="11" spans="1:9" s="3" customFormat="1" ht="30" customHeight="1" x14ac:dyDescent="0.2">
      <c r="A11" s="76" t="s">
        <v>113</v>
      </c>
      <c r="B11" s="94"/>
      <c r="C11" s="95"/>
      <c r="D11" s="95"/>
      <c r="E11" s="102">
        <f>8998393.56+99266.07+38000+28920+19000+110000+120000+18000+6700+1394752.08+152972.88+180000+30373.2</f>
        <v>11196377.790000001</v>
      </c>
      <c r="F11" s="96"/>
      <c r="G11" s="97"/>
      <c r="H11" s="72"/>
    </row>
    <row r="12" spans="1:9" s="3" customFormat="1" ht="30" customHeight="1" x14ac:dyDescent="0.2">
      <c r="A12" s="75" t="s">
        <v>112</v>
      </c>
      <c r="B12" s="94"/>
      <c r="C12" s="95"/>
      <c r="D12" s="95"/>
      <c r="E12" s="101">
        <f>14000+2200+253.8+5000+2600+6231.96+7000</f>
        <v>37285.759999999995</v>
      </c>
      <c r="F12" s="96"/>
      <c r="G12" s="97"/>
      <c r="H12" s="72"/>
    </row>
    <row r="13" spans="1:9" s="3" customFormat="1" ht="30" customHeight="1" x14ac:dyDescent="0.2">
      <c r="A13" s="75" t="s">
        <v>134</v>
      </c>
      <c r="B13" s="94"/>
      <c r="C13" s="95"/>
      <c r="D13" s="95"/>
      <c r="E13" s="101">
        <v>15000</v>
      </c>
      <c r="F13" s="96"/>
      <c r="G13" s="97"/>
      <c r="H13" s="72"/>
    </row>
    <row r="14" spans="1:9" s="3" customFormat="1" ht="30" customHeight="1" x14ac:dyDescent="0.2">
      <c r="A14" s="14" t="s">
        <v>102</v>
      </c>
      <c r="B14" s="98"/>
      <c r="C14" s="99"/>
      <c r="D14" s="99"/>
      <c r="E14" s="99">
        <v>3000</v>
      </c>
      <c r="F14" s="99"/>
      <c r="G14" s="100"/>
      <c r="H14" s="15"/>
    </row>
    <row r="15" spans="1:9" s="3" customFormat="1" ht="30" customHeight="1" x14ac:dyDescent="0.2">
      <c r="A15" s="14" t="s">
        <v>103</v>
      </c>
      <c r="B15" s="98"/>
      <c r="C15" s="99"/>
      <c r="D15" s="99"/>
      <c r="E15" s="99">
        <v>8295.7199999999993</v>
      </c>
      <c r="F15" s="99"/>
      <c r="G15" s="100"/>
      <c r="H15" s="15"/>
    </row>
    <row r="16" spans="1:9" s="3" customFormat="1" ht="30" customHeight="1" x14ac:dyDescent="0.2">
      <c r="A16" s="14" t="s">
        <v>135</v>
      </c>
      <c r="B16" s="98"/>
      <c r="C16" s="99"/>
      <c r="D16" s="99"/>
      <c r="E16" s="99">
        <v>89166.63</v>
      </c>
      <c r="F16" s="99"/>
      <c r="G16" s="100"/>
      <c r="H16" s="15"/>
    </row>
    <row r="17" spans="1:8" s="3" customFormat="1" ht="30" customHeight="1" x14ac:dyDescent="0.2">
      <c r="A17" s="14" t="s">
        <v>115</v>
      </c>
      <c r="B17" s="98"/>
      <c r="C17" s="99"/>
      <c r="D17" s="99"/>
      <c r="E17" s="105">
        <f>232354.42+4000</f>
        <v>236354.42</v>
      </c>
      <c r="F17" s="99"/>
      <c r="G17" s="100"/>
      <c r="H17" s="15"/>
    </row>
    <row r="18" spans="1:8" s="3" customFormat="1" ht="30" customHeight="1" x14ac:dyDescent="0.2">
      <c r="A18" s="14" t="s">
        <v>89</v>
      </c>
      <c r="B18" s="98"/>
      <c r="C18" s="99">
        <v>200</v>
      </c>
      <c r="D18" s="99"/>
      <c r="E18" s="99"/>
      <c r="F18" s="99"/>
      <c r="G18" s="100"/>
      <c r="H18" s="15"/>
    </row>
    <row r="19" spans="1:8" s="3" customFormat="1" ht="30" customHeight="1" x14ac:dyDescent="0.2">
      <c r="A19" s="61" t="s">
        <v>104</v>
      </c>
      <c r="B19" s="98"/>
      <c r="C19" s="99">
        <v>1550</v>
      </c>
      <c r="D19" s="99"/>
      <c r="E19" s="99"/>
      <c r="F19" s="99"/>
      <c r="G19" s="100"/>
      <c r="H19" s="15"/>
    </row>
    <row r="20" spans="1:8" s="3" customFormat="1" ht="30" customHeight="1" x14ac:dyDescent="0.2">
      <c r="A20" s="61" t="s">
        <v>66</v>
      </c>
      <c r="B20" s="98"/>
      <c r="C20" s="99"/>
      <c r="D20" s="99">
        <v>250000</v>
      </c>
      <c r="E20" s="99"/>
      <c r="F20" s="99"/>
      <c r="G20" s="100"/>
      <c r="H20" s="15"/>
    </row>
    <row r="21" spans="1:8" s="3" customFormat="1" ht="30" customHeight="1" x14ac:dyDescent="0.2">
      <c r="A21" s="61" t="s">
        <v>132</v>
      </c>
      <c r="B21" s="98"/>
      <c r="C21" s="99"/>
      <c r="D21" s="99">
        <v>10000</v>
      </c>
      <c r="E21" s="99"/>
      <c r="F21" s="99"/>
      <c r="G21" s="100"/>
      <c r="H21" s="15"/>
    </row>
    <row r="22" spans="1:8" s="3" customFormat="1" ht="30" customHeight="1" x14ac:dyDescent="0.2">
      <c r="A22" s="61" t="s">
        <v>136</v>
      </c>
      <c r="B22" s="98"/>
      <c r="C22" s="99"/>
      <c r="D22" s="99">
        <v>174966</v>
      </c>
      <c r="E22" s="99"/>
      <c r="F22" s="99"/>
      <c r="G22" s="100"/>
      <c r="H22" s="15"/>
    </row>
    <row r="23" spans="1:8" s="3" customFormat="1" ht="30" customHeight="1" x14ac:dyDescent="0.2">
      <c r="A23" s="14" t="s">
        <v>90</v>
      </c>
      <c r="B23" s="98"/>
      <c r="C23" s="99"/>
      <c r="D23" s="99">
        <v>3000</v>
      </c>
      <c r="E23" s="99"/>
      <c r="F23" s="99"/>
      <c r="G23" s="100"/>
      <c r="H23" s="15"/>
    </row>
    <row r="24" spans="1:8" s="3" customFormat="1" ht="30" customHeight="1" x14ac:dyDescent="0.2">
      <c r="A24" s="14" t="s">
        <v>91</v>
      </c>
      <c r="B24" s="98"/>
      <c r="C24" s="99">
        <v>11500</v>
      </c>
      <c r="D24" s="99"/>
      <c r="E24" s="99"/>
      <c r="F24" s="99"/>
      <c r="G24" s="100"/>
      <c r="H24" s="15"/>
    </row>
    <row r="25" spans="1:8" s="3" customFormat="1" ht="30" customHeight="1" x14ac:dyDescent="0.2">
      <c r="A25" s="14" t="s">
        <v>85</v>
      </c>
      <c r="B25" s="98"/>
      <c r="C25" s="99">
        <v>65000</v>
      </c>
      <c r="D25" s="99"/>
      <c r="E25" s="99"/>
      <c r="F25" s="99"/>
      <c r="G25" s="100"/>
      <c r="H25" s="15"/>
    </row>
    <row r="26" spans="1:8" s="3" customFormat="1" ht="30" customHeight="1" x14ac:dyDescent="0.2">
      <c r="A26" s="14" t="s">
        <v>92</v>
      </c>
      <c r="B26" s="98"/>
      <c r="C26" s="99"/>
      <c r="D26" s="99"/>
      <c r="E26" s="99"/>
      <c r="F26" s="99">
        <v>200</v>
      </c>
      <c r="G26" s="100"/>
      <c r="H26" s="15"/>
    </row>
    <row r="27" spans="1:8" s="3" customFormat="1" ht="30" customHeight="1" x14ac:dyDescent="0.2">
      <c r="A27" s="14" t="s">
        <v>137</v>
      </c>
      <c r="B27" s="98"/>
      <c r="C27" s="99"/>
      <c r="D27" s="99"/>
      <c r="E27" s="99"/>
      <c r="F27" s="99">
        <v>20995.27</v>
      </c>
      <c r="G27" s="100"/>
      <c r="H27" s="15"/>
    </row>
    <row r="28" spans="1:8" s="3" customFormat="1" ht="30" customHeight="1" x14ac:dyDescent="0.2">
      <c r="A28" s="14" t="s">
        <v>93</v>
      </c>
      <c r="B28" s="98"/>
      <c r="C28" s="99"/>
      <c r="D28" s="99"/>
      <c r="E28" s="99"/>
      <c r="F28" s="99">
        <v>300</v>
      </c>
      <c r="G28" s="100"/>
      <c r="H28" s="15"/>
    </row>
    <row r="29" spans="1:8" s="3" customFormat="1" ht="30" customHeight="1" x14ac:dyDescent="0.2">
      <c r="A29" s="14" t="s">
        <v>21</v>
      </c>
      <c r="B29" s="107">
        <f>346528.95+197044.34+59667.06+26500+17000+53000+9300+1900+5900+1000+4000+1000+26000+527000+6300+350000+10810+1500+121815.75+11779+3000+65000+15844+132496</f>
        <v>1994385.1</v>
      </c>
      <c r="C29" s="99"/>
      <c r="D29" s="99"/>
      <c r="E29" s="99"/>
      <c r="F29" s="99"/>
      <c r="G29" s="100"/>
      <c r="H29" s="15"/>
    </row>
    <row r="30" spans="1:8" s="3" customFormat="1" ht="30" customHeight="1" x14ac:dyDescent="0.2">
      <c r="A30" s="14" t="s">
        <v>22</v>
      </c>
      <c r="B30" s="107">
        <f>61282.65+345511+65000+5000</f>
        <v>476793.65</v>
      </c>
      <c r="C30" s="99"/>
      <c r="D30" s="99"/>
      <c r="E30" s="99"/>
      <c r="F30" s="99"/>
      <c r="G30" s="100"/>
      <c r="H30" s="15"/>
    </row>
    <row r="31" spans="1:8" s="3" customFormat="1" ht="30" customHeight="1" x14ac:dyDescent="0.2">
      <c r="A31" s="14" t="s">
        <v>23</v>
      </c>
      <c r="B31" s="98"/>
      <c r="C31" s="99">
        <v>2300</v>
      </c>
      <c r="D31" s="99"/>
      <c r="E31" s="99"/>
      <c r="F31" s="99"/>
      <c r="G31" s="100"/>
      <c r="H31" s="15"/>
    </row>
    <row r="32" spans="1:8" s="3" customFormat="1" ht="30" customHeight="1" thickBot="1" x14ac:dyDescent="0.25">
      <c r="A32" s="16"/>
      <c r="B32" s="17"/>
      <c r="C32" s="17"/>
      <c r="D32" s="17"/>
      <c r="E32" s="17"/>
      <c r="F32" s="17"/>
      <c r="G32" s="20"/>
      <c r="H32" s="18"/>
    </row>
    <row r="33" spans="1:15" s="3" customFormat="1" ht="30" customHeight="1" thickBot="1" x14ac:dyDescent="0.3">
      <c r="A33" s="19" t="s">
        <v>2</v>
      </c>
      <c r="B33" s="134">
        <f t="shared" ref="B33:H33" si="0">SUM(B10:B32)</f>
        <v>2471178.75</v>
      </c>
      <c r="C33" s="134">
        <f t="shared" si="0"/>
        <v>80550</v>
      </c>
      <c r="D33" s="134">
        <f t="shared" si="0"/>
        <v>437966</v>
      </c>
      <c r="E33" s="134">
        <f t="shared" si="0"/>
        <v>11613712.000000002</v>
      </c>
      <c r="F33" s="134">
        <f t="shared" si="0"/>
        <v>21495.27</v>
      </c>
      <c r="G33" s="57">
        <f t="shared" si="0"/>
        <v>0</v>
      </c>
      <c r="H33" s="57">
        <f t="shared" si="0"/>
        <v>0</v>
      </c>
    </row>
    <row r="34" spans="1:15" s="3" customFormat="1" ht="30" customHeight="1" thickBot="1" x14ac:dyDescent="0.3">
      <c r="A34" s="19" t="s">
        <v>133</v>
      </c>
      <c r="B34" s="172">
        <f>B33+C33+D33+E33+F33</f>
        <v>14624902.020000001</v>
      </c>
      <c r="C34" s="173"/>
      <c r="D34" s="173"/>
      <c r="E34" s="173"/>
      <c r="F34" s="173"/>
      <c r="G34" s="173"/>
      <c r="H34" s="174"/>
    </row>
    <row r="35" spans="1:15" s="3" customFormat="1" ht="15" x14ac:dyDescent="0.2"/>
    <row r="36" spans="1:15" s="3" customFormat="1" ht="15.75" x14ac:dyDescent="0.25">
      <c r="A36" s="2"/>
      <c r="H36" s="23"/>
      <c r="I36" s="23"/>
      <c r="J36"/>
      <c r="K36"/>
      <c r="L36"/>
      <c r="M36"/>
      <c r="N36"/>
      <c r="O36"/>
    </row>
    <row r="37" spans="1:15" s="3" customFormat="1" ht="15" x14ac:dyDescent="0.2">
      <c r="A37" s="21"/>
      <c r="I37"/>
      <c r="J37"/>
      <c r="K37"/>
      <c r="L37"/>
      <c r="M37"/>
      <c r="N37"/>
      <c r="O37"/>
    </row>
    <row r="38" spans="1:15" s="3" customFormat="1" ht="34.5" customHeight="1" x14ac:dyDescent="0.2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5" s="3" customFormat="1" ht="15" x14ac:dyDescent="0.2">
      <c r="A39" s="21"/>
      <c r="I39"/>
      <c r="J39"/>
      <c r="K39"/>
      <c r="L39"/>
      <c r="M39"/>
      <c r="N39"/>
      <c r="O39"/>
    </row>
    <row r="40" spans="1:15" s="3" customFormat="1" ht="15" x14ac:dyDescent="0.2"/>
    <row r="41" spans="1:15" s="3" customFormat="1" ht="15" x14ac:dyDescent="0.2"/>
    <row r="42" spans="1:15" s="3" customFormat="1" ht="15" x14ac:dyDescent="0.2"/>
    <row r="43" spans="1:15" s="3" customFormat="1" ht="15" x14ac:dyDescent="0.2"/>
    <row r="44" spans="1:15" s="3" customFormat="1" ht="15" x14ac:dyDescent="0.2"/>
    <row r="45" spans="1:15" s="3" customFormat="1" ht="15" x14ac:dyDescent="0.2"/>
    <row r="46" spans="1:15" s="3" customFormat="1" ht="15" x14ac:dyDescent="0.2"/>
    <row r="47" spans="1:15" s="3" customFormat="1" ht="15" x14ac:dyDescent="0.2"/>
    <row r="48" spans="1:15" s="3" customFormat="1" ht="15" x14ac:dyDescent="0.2"/>
    <row r="49" s="3" customFormat="1" ht="15" x14ac:dyDescent="0.2"/>
    <row r="50" s="3" customFormat="1" ht="15" x14ac:dyDescent="0.2"/>
    <row r="51" s="3" customFormat="1" ht="15" x14ac:dyDescent="0.2"/>
    <row r="52" s="3" customFormat="1" ht="15" x14ac:dyDescent="0.2"/>
    <row r="53" s="3" customFormat="1" ht="15" x14ac:dyDescent="0.2"/>
    <row r="54" s="3" customFormat="1" ht="15" x14ac:dyDescent="0.2"/>
    <row r="55" s="3" customFormat="1" ht="15" x14ac:dyDescent="0.2"/>
    <row r="56" s="3" customFormat="1" ht="15" x14ac:dyDescent="0.2"/>
    <row r="57" s="3" customFormat="1" ht="15" x14ac:dyDescent="0.2"/>
    <row r="58" s="3" customFormat="1" ht="15" x14ac:dyDescent="0.2"/>
    <row r="59" s="3" customFormat="1" ht="15" x14ac:dyDescent="0.2"/>
    <row r="60" s="3" customFormat="1" ht="15" x14ac:dyDescent="0.2"/>
    <row r="61" s="3" customFormat="1" ht="15" x14ac:dyDescent="0.2"/>
    <row r="62" s="3" customFormat="1" ht="15" x14ac:dyDescent="0.2"/>
    <row r="63" s="3" customFormat="1" ht="15" x14ac:dyDescent="0.2"/>
    <row r="64" s="3" customFormat="1" ht="15" x14ac:dyDescent="0.2"/>
    <row r="65" s="3" customFormat="1" ht="15" x14ac:dyDescent="0.2"/>
    <row r="66" s="3" customFormat="1" ht="15" x14ac:dyDescent="0.2"/>
    <row r="67" s="3" customFormat="1" ht="15" x14ac:dyDescent="0.2"/>
    <row r="68" s="3" customFormat="1" ht="15" x14ac:dyDescent="0.2"/>
    <row r="69" s="3" customFormat="1" ht="15" x14ac:dyDescent="0.2"/>
    <row r="70" s="3" customFormat="1" ht="15" x14ac:dyDescent="0.2"/>
    <row r="71" s="3" customFormat="1" ht="15" x14ac:dyDescent="0.2"/>
    <row r="72" s="3" customFormat="1" ht="15" x14ac:dyDescent="0.2"/>
    <row r="73" s="3" customFormat="1" ht="15" x14ac:dyDescent="0.2"/>
    <row r="74" s="3" customFormat="1" ht="15" x14ac:dyDescent="0.2"/>
    <row r="75" s="3" customFormat="1" ht="15" x14ac:dyDescent="0.2"/>
    <row r="76" s="3" customFormat="1" ht="15" x14ac:dyDescent="0.2"/>
    <row r="77" s="3" customFormat="1" ht="15" x14ac:dyDescent="0.2"/>
    <row r="78" s="3" customFormat="1" ht="15" x14ac:dyDescent="0.2"/>
    <row r="79" s="3" customFormat="1" ht="15" x14ac:dyDescent="0.2"/>
    <row r="80" s="3" customFormat="1" ht="15" x14ac:dyDescent="0.2"/>
    <row r="81" s="3" customFormat="1" ht="15" x14ac:dyDescent="0.2"/>
    <row r="82" s="3" customFormat="1" ht="15" x14ac:dyDescent="0.2"/>
    <row r="83" s="3" customFormat="1" ht="15" x14ac:dyDescent="0.2"/>
  </sheetData>
  <mergeCells count="12">
    <mergeCell ref="B34:H34"/>
    <mergeCell ref="A38:O38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ageMargins left="0.39370078740157483" right="0.23622047244094491" top="0.35433070866141736" bottom="0.6692913385826772" header="0.6692913385826772" footer="0.27559055118110237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9" zoomScale="70" zoomScaleNormal="70" workbookViewId="0">
      <selection activeCell="E18" sqref="E18"/>
    </sheetView>
  </sheetViews>
  <sheetFormatPr defaultRowHeight="12.75" x14ac:dyDescent="0.2"/>
  <cols>
    <col min="1" max="1" width="39.5703125" customWidth="1"/>
    <col min="2" max="2" width="16.85546875" customWidth="1"/>
    <col min="3" max="3" width="13.140625" customWidth="1"/>
    <col min="4" max="4" width="15.140625" customWidth="1"/>
    <col min="5" max="5" width="16.5703125" customWidth="1"/>
    <col min="6" max="6" width="11" customWidth="1"/>
    <col min="7" max="7" width="23" customWidth="1"/>
    <col min="8" max="8" width="13.28515625" customWidth="1"/>
    <col min="9" max="9" width="17.85546875" customWidth="1"/>
    <col min="10" max="10" width="13" customWidth="1"/>
    <col min="11" max="11" width="16.28515625" customWidth="1"/>
    <col min="12" max="12" width="14.7109375" customWidth="1"/>
    <col min="13" max="13" width="12" customWidth="1"/>
    <col min="14" max="14" width="21.85546875" customWidth="1"/>
    <col min="15" max="15" width="16" customWidth="1"/>
  </cols>
  <sheetData>
    <row r="1" spans="1:15" x14ac:dyDescent="0.2">
      <c r="N1" s="22" t="s">
        <v>14</v>
      </c>
    </row>
    <row r="2" spans="1:15" ht="20.25" x14ac:dyDescent="0.3">
      <c r="A2" s="177" t="s">
        <v>128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5.75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3.5" thickBot="1" x14ac:dyDescent="0.25">
      <c r="O4" s="5" t="s">
        <v>1</v>
      </c>
    </row>
    <row r="5" spans="1:15" ht="15.75" thickBot="1" x14ac:dyDescent="0.3">
      <c r="A5" s="6" t="s">
        <v>3</v>
      </c>
      <c r="B5" s="193" t="s">
        <v>82</v>
      </c>
      <c r="C5" s="194"/>
      <c r="D5" s="194"/>
      <c r="E5" s="194"/>
      <c r="F5" s="194"/>
      <c r="G5" s="194"/>
      <c r="H5" s="195"/>
      <c r="I5" s="193" t="s">
        <v>96</v>
      </c>
      <c r="J5" s="194"/>
      <c r="K5" s="194"/>
      <c r="L5" s="194"/>
      <c r="M5" s="194"/>
      <c r="N5" s="194"/>
      <c r="O5" s="195"/>
    </row>
    <row r="6" spans="1:15" ht="15.75" customHeight="1" x14ac:dyDescent="0.2">
      <c r="A6" s="7" t="s">
        <v>19</v>
      </c>
      <c r="B6" s="183" t="s">
        <v>4</v>
      </c>
      <c r="C6" s="196" t="s">
        <v>5</v>
      </c>
      <c r="D6" s="196" t="s">
        <v>6</v>
      </c>
      <c r="E6" s="189" t="s">
        <v>7</v>
      </c>
      <c r="F6" s="189" t="s">
        <v>0</v>
      </c>
      <c r="G6" s="189" t="s">
        <v>83</v>
      </c>
      <c r="H6" s="191" t="s">
        <v>81</v>
      </c>
      <c r="I6" s="183" t="s">
        <v>4</v>
      </c>
      <c r="J6" s="198" t="s">
        <v>5</v>
      </c>
      <c r="K6" s="198" t="s">
        <v>6</v>
      </c>
      <c r="L6" s="189" t="s">
        <v>7</v>
      </c>
      <c r="M6" s="189" t="s">
        <v>0</v>
      </c>
      <c r="N6" s="189" t="s">
        <v>83</v>
      </c>
      <c r="O6" s="191" t="s">
        <v>81</v>
      </c>
    </row>
    <row r="7" spans="1:15" ht="63.75" customHeight="1" thickBot="1" x14ac:dyDescent="0.3">
      <c r="A7" s="8" t="s">
        <v>18</v>
      </c>
      <c r="B7" s="184"/>
      <c r="C7" s="197"/>
      <c r="D7" s="197"/>
      <c r="E7" s="190"/>
      <c r="F7" s="190"/>
      <c r="G7" s="190"/>
      <c r="H7" s="192"/>
      <c r="I7" s="184"/>
      <c r="J7" s="199"/>
      <c r="K7" s="199"/>
      <c r="L7" s="190"/>
      <c r="M7" s="190"/>
      <c r="N7" s="190"/>
      <c r="O7" s="192"/>
    </row>
    <row r="8" spans="1:15" ht="39" customHeight="1" x14ac:dyDescent="0.2">
      <c r="A8" s="78" t="s">
        <v>95</v>
      </c>
      <c r="B8" s="120"/>
      <c r="C8" s="121"/>
      <c r="D8" s="121"/>
      <c r="E8" s="121">
        <v>20000</v>
      </c>
      <c r="F8" s="121"/>
      <c r="G8" s="122"/>
      <c r="H8" s="123"/>
      <c r="I8" s="124"/>
      <c r="J8" s="125"/>
      <c r="K8" s="125"/>
      <c r="L8" s="121">
        <v>20000</v>
      </c>
      <c r="M8" s="125"/>
      <c r="N8" s="126"/>
      <c r="O8" s="127"/>
    </row>
    <row r="9" spans="1:15" ht="24.95" customHeight="1" x14ac:dyDescent="0.2">
      <c r="A9" s="79" t="s">
        <v>100</v>
      </c>
      <c r="B9" s="120"/>
      <c r="C9" s="121"/>
      <c r="D9" s="121"/>
      <c r="E9" s="121">
        <v>11564332</v>
      </c>
      <c r="F9" s="121"/>
      <c r="G9" s="122"/>
      <c r="H9" s="123"/>
      <c r="I9" s="124"/>
      <c r="J9" s="125"/>
      <c r="K9" s="125"/>
      <c r="L9" s="121">
        <v>12000000</v>
      </c>
      <c r="M9" s="125"/>
      <c r="N9" s="126"/>
      <c r="O9" s="127"/>
    </row>
    <row r="10" spans="1:15" ht="33" customHeight="1" x14ac:dyDescent="0.2">
      <c r="A10" s="80" t="s">
        <v>101</v>
      </c>
      <c r="B10" s="120"/>
      <c r="C10" s="121"/>
      <c r="D10" s="121"/>
      <c r="E10" s="121">
        <v>22900</v>
      </c>
      <c r="F10" s="121"/>
      <c r="G10" s="122"/>
      <c r="H10" s="123"/>
      <c r="I10" s="120"/>
      <c r="J10" s="125"/>
      <c r="K10" s="125"/>
      <c r="L10" s="121">
        <v>24000</v>
      </c>
      <c r="M10" s="125"/>
      <c r="N10" s="126"/>
      <c r="O10" s="127"/>
    </row>
    <row r="11" spans="1:15" ht="24.95" customHeight="1" x14ac:dyDescent="0.2">
      <c r="A11" s="81" t="s">
        <v>102</v>
      </c>
      <c r="B11" s="120"/>
      <c r="C11" s="121"/>
      <c r="D11" s="121"/>
      <c r="E11" s="121">
        <v>3500</v>
      </c>
      <c r="F11" s="121"/>
      <c r="G11" s="122"/>
      <c r="H11" s="123"/>
      <c r="I11" s="120"/>
      <c r="J11" s="125"/>
      <c r="K11" s="125"/>
      <c r="L11" s="121">
        <v>3500</v>
      </c>
      <c r="M11" s="125"/>
      <c r="N11" s="126"/>
      <c r="O11" s="127"/>
    </row>
    <row r="12" spans="1:15" ht="24.95" customHeight="1" x14ac:dyDescent="0.2">
      <c r="A12" s="81" t="s">
        <v>103</v>
      </c>
      <c r="B12" s="120"/>
      <c r="C12" s="121"/>
      <c r="D12" s="121"/>
      <c r="E12" s="121">
        <v>10000</v>
      </c>
      <c r="F12" s="121"/>
      <c r="G12" s="122"/>
      <c r="H12" s="123"/>
      <c r="I12" s="124"/>
      <c r="J12" s="125"/>
      <c r="K12" s="125"/>
      <c r="L12" s="121">
        <v>10000</v>
      </c>
      <c r="M12" s="125"/>
      <c r="N12" s="126"/>
      <c r="O12" s="127"/>
    </row>
    <row r="13" spans="1:15" ht="24.95" customHeight="1" x14ac:dyDescent="0.2">
      <c r="A13" s="106" t="s">
        <v>129</v>
      </c>
      <c r="B13" s="120"/>
      <c r="C13" s="121"/>
      <c r="D13" s="121"/>
      <c r="E13" s="121">
        <v>724054</v>
      </c>
      <c r="F13" s="121"/>
      <c r="G13" s="122"/>
      <c r="H13" s="123"/>
      <c r="I13" s="124"/>
      <c r="J13" s="125"/>
      <c r="K13" s="125"/>
      <c r="L13" s="121"/>
      <c r="M13" s="125"/>
      <c r="N13" s="126"/>
      <c r="O13" s="127"/>
    </row>
    <row r="14" spans="1:15" ht="24.95" customHeight="1" x14ac:dyDescent="0.2">
      <c r="A14" s="81" t="s">
        <v>89</v>
      </c>
      <c r="B14" s="128"/>
      <c r="C14" s="125">
        <v>200</v>
      </c>
      <c r="D14" s="125"/>
      <c r="E14" s="125"/>
      <c r="F14" s="125"/>
      <c r="G14" s="126"/>
      <c r="H14" s="127"/>
      <c r="I14" s="124"/>
      <c r="J14" s="125">
        <v>200</v>
      </c>
      <c r="K14" s="125"/>
      <c r="L14" s="125"/>
      <c r="M14" s="125"/>
      <c r="N14" s="126"/>
      <c r="O14" s="127"/>
    </row>
    <row r="15" spans="1:15" ht="24.95" customHeight="1" x14ac:dyDescent="0.2">
      <c r="A15" s="119" t="s">
        <v>130</v>
      </c>
      <c r="B15" s="128"/>
      <c r="C15" s="125">
        <v>1000</v>
      </c>
      <c r="D15" s="125"/>
      <c r="E15" s="125"/>
      <c r="F15" s="125"/>
      <c r="G15" s="126"/>
      <c r="H15" s="127"/>
      <c r="I15" s="124"/>
      <c r="J15" s="125"/>
      <c r="K15" s="125"/>
      <c r="L15" s="125"/>
      <c r="M15" s="125"/>
      <c r="N15" s="126"/>
      <c r="O15" s="127"/>
    </row>
    <row r="16" spans="1:15" ht="24.95" customHeight="1" x14ac:dyDescent="0.2">
      <c r="A16" s="82" t="s">
        <v>66</v>
      </c>
      <c r="B16" s="128"/>
      <c r="C16" s="125"/>
      <c r="D16" s="125">
        <v>250000</v>
      </c>
      <c r="E16" s="125"/>
      <c r="F16" s="125"/>
      <c r="G16" s="126"/>
      <c r="H16" s="127"/>
      <c r="I16" s="124"/>
      <c r="J16" s="125"/>
      <c r="K16" s="125">
        <v>250000</v>
      </c>
      <c r="L16" s="125"/>
      <c r="M16" s="125"/>
      <c r="N16" s="126"/>
      <c r="O16" s="127"/>
    </row>
    <row r="17" spans="1:15" ht="24.95" customHeight="1" x14ac:dyDescent="0.2">
      <c r="A17" s="81" t="s">
        <v>90</v>
      </c>
      <c r="B17" s="128"/>
      <c r="C17" s="125"/>
      <c r="D17" s="125">
        <v>1500</v>
      </c>
      <c r="E17" s="125"/>
      <c r="F17" s="125"/>
      <c r="G17" s="126"/>
      <c r="H17" s="127"/>
      <c r="I17" s="124"/>
      <c r="J17" s="125"/>
      <c r="K17" s="125">
        <v>3000</v>
      </c>
      <c r="L17" s="125"/>
      <c r="M17" s="125"/>
      <c r="N17" s="126"/>
      <c r="O17" s="127"/>
    </row>
    <row r="18" spans="1:15" ht="24.95" customHeight="1" x14ac:dyDescent="0.2">
      <c r="A18" s="81" t="s">
        <v>91</v>
      </c>
      <c r="B18" s="128"/>
      <c r="C18" s="125">
        <v>10000</v>
      </c>
      <c r="D18" s="125"/>
      <c r="E18" s="125"/>
      <c r="F18" s="125"/>
      <c r="G18" s="126"/>
      <c r="H18" s="127"/>
      <c r="I18" s="124"/>
      <c r="J18" s="125">
        <v>12000</v>
      </c>
      <c r="K18" s="125"/>
      <c r="L18" s="125"/>
      <c r="M18" s="125"/>
      <c r="N18" s="126"/>
      <c r="O18" s="127"/>
    </row>
    <row r="19" spans="1:15" ht="24.95" customHeight="1" x14ac:dyDescent="0.2">
      <c r="A19" s="81" t="s">
        <v>85</v>
      </c>
      <c r="B19" s="128"/>
      <c r="C19" s="125">
        <v>60000</v>
      </c>
      <c r="D19" s="125"/>
      <c r="E19" s="125"/>
      <c r="F19" s="125"/>
      <c r="G19" s="126"/>
      <c r="H19" s="127"/>
      <c r="I19" s="124"/>
      <c r="J19" s="125">
        <v>70000</v>
      </c>
      <c r="K19" s="125"/>
      <c r="L19" s="125"/>
      <c r="M19" s="125"/>
      <c r="N19" s="126"/>
      <c r="O19" s="127"/>
    </row>
    <row r="20" spans="1:15" ht="24.95" customHeight="1" x14ac:dyDescent="0.2">
      <c r="A20" s="81" t="s">
        <v>92</v>
      </c>
      <c r="B20" s="128"/>
      <c r="C20" s="125"/>
      <c r="D20" s="125"/>
      <c r="E20" s="125"/>
      <c r="F20" s="125">
        <v>200</v>
      </c>
      <c r="G20" s="126"/>
      <c r="H20" s="127"/>
      <c r="I20" s="124"/>
      <c r="J20" s="125"/>
      <c r="K20" s="125"/>
      <c r="L20" s="125"/>
      <c r="M20" s="125">
        <v>200</v>
      </c>
      <c r="N20" s="126"/>
      <c r="O20" s="127"/>
    </row>
    <row r="21" spans="1:15" ht="24.95" customHeight="1" x14ac:dyDescent="0.2">
      <c r="A21" s="106" t="s">
        <v>111</v>
      </c>
      <c r="B21" s="128"/>
      <c r="C21" s="125"/>
      <c r="D21" s="125"/>
      <c r="E21" s="125"/>
      <c r="F21" s="125">
        <v>5000</v>
      </c>
      <c r="G21" s="126"/>
      <c r="H21" s="127"/>
      <c r="I21" s="124"/>
      <c r="J21" s="125"/>
      <c r="K21" s="125"/>
      <c r="L21" s="125"/>
      <c r="M21" s="125">
        <v>2500</v>
      </c>
      <c r="N21" s="126"/>
      <c r="O21" s="127"/>
    </row>
    <row r="22" spans="1:15" ht="24.95" customHeight="1" x14ac:dyDescent="0.2">
      <c r="A22" s="81" t="s">
        <v>93</v>
      </c>
      <c r="B22" s="128"/>
      <c r="C22" s="125"/>
      <c r="D22" s="125"/>
      <c r="E22" s="125"/>
      <c r="F22" s="125">
        <v>1500</v>
      </c>
      <c r="G22" s="126"/>
      <c r="H22" s="127"/>
      <c r="I22" s="124"/>
      <c r="J22" s="125"/>
      <c r="K22" s="125"/>
      <c r="L22" s="125"/>
      <c r="M22" s="125">
        <v>5000</v>
      </c>
      <c r="N22" s="126"/>
      <c r="O22" s="127"/>
    </row>
    <row r="23" spans="1:15" ht="24.95" customHeight="1" x14ac:dyDescent="0.2">
      <c r="A23" s="81" t="s">
        <v>21</v>
      </c>
      <c r="B23" s="128">
        <v>2175754</v>
      </c>
      <c r="C23" s="125"/>
      <c r="D23" s="125"/>
      <c r="E23" s="125"/>
      <c r="F23" s="125"/>
      <c r="G23" s="126"/>
      <c r="H23" s="127"/>
      <c r="I23" s="128">
        <v>2175754</v>
      </c>
      <c r="J23" s="125"/>
      <c r="K23" s="125"/>
      <c r="L23" s="125"/>
      <c r="M23" s="125"/>
      <c r="N23" s="126"/>
      <c r="O23" s="127"/>
    </row>
    <row r="24" spans="1:15" ht="24.95" customHeight="1" x14ac:dyDescent="0.2">
      <c r="A24" s="81" t="s">
        <v>22</v>
      </c>
      <c r="B24" s="128">
        <v>766000</v>
      </c>
      <c r="C24" s="125"/>
      <c r="D24" s="125"/>
      <c r="E24" s="125"/>
      <c r="F24" s="125"/>
      <c r="G24" s="126"/>
      <c r="H24" s="127"/>
      <c r="I24" s="128">
        <v>556000</v>
      </c>
      <c r="J24" s="125"/>
      <c r="K24" s="125"/>
      <c r="L24" s="125"/>
      <c r="M24" s="125"/>
      <c r="N24" s="126"/>
      <c r="O24" s="127"/>
    </row>
    <row r="25" spans="1:15" ht="24.95" customHeight="1" x14ac:dyDescent="0.2">
      <c r="A25" s="81" t="s">
        <v>23</v>
      </c>
      <c r="B25" s="128"/>
      <c r="C25" s="125">
        <v>2000</v>
      </c>
      <c r="D25" s="125"/>
      <c r="E25" s="125"/>
      <c r="F25" s="125"/>
      <c r="G25" s="126"/>
      <c r="H25" s="127"/>
      <c r="I25" s="124"/>
      <c r="J25" s="125">
        <v>1000</v>
      </c>
      <c r="K25" s="125"/>
      <c r="L25" s="125"/>
      <c r="M25" s="125"/>
      <c r="N25" s="126"/>
      <c r="O25" s="127"/>
    </row>
    <row r="26" spans="1:15" ht="24.95" customHeight="1" thickBot="1" x14ac:dyDescent="0.25">
      <c r="A26" s="83"/>
      <c r="B26" s="129"/>
      <c r="C26" s="130"/>
      <c r="D26" s="130"/>
      <c r="E26" s="130"/>
      <c r="F26" s="130"/>
      <c r="G26" s="131"/>
      <c r="H26" s="132"/>
      <c r="I26" s="133"/>
      <c r="J26" s="130"/>
      <c r="K26" s="130"/>
      <c r="L26" s="130"/>
      <c r="M26" s="130"/>
      <c r="N26" s="131"/>
      <c r="O26" s="132"/>
    </row>
    <row r="27" spans="1:15" ht="24.95" customHeight="1" thickBot="1" x14ac:dyDescent="0.25">
      <c r="A27" s="1" t="s">
        <v>2</v>
      </c>
      <c r="B27" s="58">
        <f>SUM(B8:B26)</f>
        <v>2941754</v>
      </c>
      <c r="C27" s="58">
        <f t="shared" ref="C27:O27" si="0">SUM(C8:C26)</f>
        <v>73200</v>
      </c>
      <c r="D27" s="58">
        <f t="shared" si="0"/>
        <v>251500</v>
      </c>
      <c r="E27" s="58">
        <f t="shared" si="0"/>
        <v>12344786</v>
      </c>
      <c r="F27" s="58">
        <f t="shared" si="0"/>
        <v>6700</v>
      </c>
      <c r="G27" s="58">
        <f t="shared" si="0"/>
        <v>0</v>
      </c>
      <c r="H27" s="58">
        <f t="shared" si="0"/>
        <v>0</v>
      </c>
      <c r="I27" s="58">
        <f t="shared" si="0"/>
        <v>2731754</v>
      </c>
      <c r="J27" s="58">
        <f t="shared" si="0"/>
        <v>83200</v>
      </c>
      <c r="K27" s="58">
        <f t="shared" si="0"/>
        <v>253000</v>
      </c>
      <c r="L27" s="58">
        <f t="shared" si="0"/>
        <v>12057500</v>
      </c>
      <c r="M27" s="58">
        <f t="shared" si="0"/>
        <v>7700</v>
      </c>
      <c r="N27" s="58">
        <f t="shared" si="0"/>
        <v>0</v>
      </c>
      <c r="O27" s="58">
        <f t="shared" si="0"/>
        <v>0</v>
      </c>
    </row>
    <row r="28" spans="1:15" ht="24.95" customHeight="1" thickBot="1" x14ac:dyDescent="0.25">
      <c r="A28" s="1" t="s">
        <v>110</v>
      </c>
      <c r="B28" s="200">
        <f>SUM(B27:H27)</f>
        <v>15617940</v>
      </c>
      <c r="C28" s="201"/>
      <c r="D28" s="201"/>
      <c r="E28" s="201"/>
      <c r="F28" s="201"/>
      <c r="G28" s="201"/>
      <c r="H28" s="202"/>
      <c r="I28" s="200">
        <f>SUM(I27:O27)</f>
        <v>15133154</v>
      </c>
      <c r="J28" s="201"/>
      <c r="K28" s="201"/>
      <c r="L28" s="201"/>
      <c r="M28" s="201"/>
      <c r="N28" s="201"/>
      <c r="O28" s="202"/>
    </row>
    <row r="30" spans="1:15" ht="15.75" x14ac:dyDescent="0.25">
      <c r="A30" s="2"/>
      <c r="B30" s="3"/>
      <c r="C30" s="3"/>
      <c r="D30" s="3"/>
      <c r="E30" s="3"/>
      <c r="F30" s="3"/>
      <c r="G30" s="23"/>
      <c r="H30" s="23"/>
      <c r="I30" s="23"/>
    </row>
    <row r="31" spans="1:15" ht="15" x14ac:dyDescent="0.2">
      <c r="A31" s="21"/>
      <c r="B31" s="3"/>
      <c r="C31" s="3"/>
      <c r="D31" s="3"/>
      <c r="E31" s="3"/>
      <c r="F31" s="3"/>
      <c r="G31" s="3"/>
      <c r="H31" s="3"/>
    </row>
    <row r="32" spans="1:15" ht="33.75" customHeight="1" x14ac:dyDescent="0.2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8" ht="15" x14ac:dyDescent="0.2">
      <c r="A33" s="21"/>
      <c r="B33" s="3"/>
      <c r="C33" s="3"/>
      <c r="D33" s="3"/>
      <c r="E33" s="3"/>
      <c r="F33" s="3"/>
      <c r="G33" s="3"/>
      <c r="H33" s="3"/>
    </row>
  </sheetData>
  <mergeCells count="21">
    <mergeCell ref="A32:O32"/>
    <mergeCell ref="H6:H7"/>
    <mergeCell ref="I6:I7"/>
    <mergeCell ref="J6:J7"/>
    <mergeCell ref="K6:K7"/>
    <mergeCell ref="G6:G7"/>
    <mergeCell ref="B28:H28"/>
    <mergeCell ref="I28:O28"/>
    <mergeCell ref="N6:N7"/>
    <mergeCell ref="F6:F7"/>
    <mergeCell ref="O6:O7"/>
    <mergeCell ref="A2:O2"/>
    <mergeCell ref="A3:O3"/>
    <mergeCell ref="B5:H5"/>
    <mergeCell ref="I5:O5"/>
    <mergeCell ref="B6:B7"/>
    <mergeCell ref="E6:E7"/>
    <mergeCell ref="L6:L7"/>
    <mergeCell ref="C6:C7"/>
    <mergeCell ref="M6:M7"/>
    <mergeCell ref="D6:D7"/>
  </mergeCells>
  <pageMargins left="0.27" right="0.17" top="0.15748031496062992" bottom="0.98425196850393704" header="0.35433070866141736" footer="0.27559055118110237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opLeftCell="A4" zoomScale="80" zoomScaleNormal="80" workbookViewId="0">
      <pane xSplit="1" topLeftCell="B1" activePane="topRight" state="frozen"/>
      <selection pane="topRight" activeCell="F68" sqref="F68"/>
    </sheetView>
  </sheetViews>
  <sheetFormatPr defaultRowHeight="15" x14ac:dyDescent="0.2"/>
  <cols>
    <col min="1" max="1" width="11.140625" style="55" customWidth="1"/>
    <col min="2" max="2" width="29" style="56" customWidth="1"/>
    <col min="3" max="5" width="17.140625" style="27" customWidth="1"/>
    <col min="6" max="6" width="17.140625" style="137" customWidth="1"/>
    <col min="7" max="7" width="14.7109375" style="27" customWidth="1"/>
    <col min="8" max="8" width="16.7109375" style="30" customWidth="1"/>
    <col min="9" max="18" width="16.7109375" style="27" customWidth="1"/>
    <col min="19" max="19" width="16.7109375" style="27" hidden="1" customWidth="1"/>
    <col min="20" max="20" width="16.42578125" style="27" hidden="1" customWidth="1"/>
    <col min="21" max="21" width="10.42578125" style="27" customWidth="1"/>
    <col min="22" max="16384" width="9.140625" style="27"/>
  </cols>
  <sheetData>
    <row r="1" spans="1:21" ht="24.75" customHeight="1" x14ac:dyDescent="0.35">
      <c r="A1" s="203" t="s">
        <v>141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11" t="s">
        <v>15</v>
      </c>
      <c r="S1" s="26"/>
      <c r="T1" s="26"/>
      <c r="U1" s="26"/>
    </row>
    <row r="2" spans="1:21" ht="20.25" customHeight="1" x14ac:dyDescent="0.2">
      <c r="A2" s="26"/>
      <c r="B2" s="26"/>
      <c r="C2" s="26"/>
      <c r="D2" s="26"/>
      <c r="E2" s="26"/>
      <c r="F2" s="13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0.25" customHeight="1" x14ac:dyDescent="0.2">
      <c r="A3" s="26"/>
      <c r="B3" s="26"/>
      <c r="C3" s="26"/>
      <c r="D3" s="26"/>
      <c r="E3" s="26"/>
      <c r="F3" s="13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 x14ac:dyDescent="0.25">
      <c r="A4" s="84" t="s">
        <v>25</v>
      </c>
      <c r="B4" s="28"/>
      <c r="C4" s="28"/>
      <c r="D4" s="28"/>
      <c r="E4" s="28"/>
      <c r="F4" s="136"/>
      <c r="G4" s="28"/>
      <c r="H4" s="112"/>
    </row>
    <row r="5" spans="1:21" ht="15" customHeight="1" x14ac:dyDescent="0.2">
      <c r="A5" s="29" t="s">
        <v>24</v>
      </c>
      <c r="B5" s="27"/>
    </row>
    <row r="6" spans="1:21" ht="16.5" customHeight="1" x14ac:dyDescent="0.25">
      <c r="A6" s="24"/>
      <c r="B6" s="27"/>
    </row>
    <row r="7" spans="1:21" ht="15.75" x14ac:dyDescent="0.25">
      <c r="A7" s="31"/>
      <c r="B7" s="31"/>
      <c r="C7" s="31"/>
      <c r="D7" s="31"/>
      <c r="E7" s="31"/>
      <c r="F7" s="138"/>
      <c r="G7" s="31"/>
      <c r="H7" s="113"/>
      <c r="I7" s="31"/>
      <c r="J7" s="31"/>
      <c r="K7" s="31"/>
      <c r="L7" s="31"/>
      <c r="M7" s="31"/>
      <c r="N7" s="31"/>
      <c r="O7" s="31"/>
      <c r="P7" s="31"/>
      <c r="Q7" s="31"/>
      <c r="R7" s="114" t="s">
        <v>1</v>
      </c>
    </row>
    <row r="8" spans="1:21" ht="8.25" customHeight="1" x14ac:dyDescent="0.25">
      <c r="A8" s="32"/>
      <c r="B8" s="32"/>
      <c r="C8" s="32"/>
      <c r="D8" s="32"/>
      <c r="E8" s="32"/>
      <c r="F8" s="139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 ht="9.75" customHeight="1" x14ac:dyDescent="0.25">
      <c r="A9" s="32"/>
      <c r="B9" s="32"/>
      <c r="C9" s="32"/>
      <c r="D9" s="32"/>
      <c r="E9" s="32"/>
      <c r="F9" s="139"/>
      <c r="G9" s="32"/>
      <c r="H9" s="32"/>
      <c r="I9" s="32"/>
      <c r="J9" s="32"/>
      <c r="K9" s="32"/>
      <c r="L9" s="32"/>
      <c r="M9" s="32"/>
      <c r="N9" s="32"/>
      <c r="O9" s="32"/>
      <c r="P9" s="32"/>
      <c r="R9" s="115"/>
      <c r="S9" s="32"/>
      <c r="T9" s="32"/>
    </row>
    <row r="10" spans="1:21" s="30" customFormat="1" ht="90" x14ac:dyDescent="0.25">
      <c r="A10" s="34" t="s">
        <v>20</v>
      </c>
      <c r="B10" s="34" t="s">
        <v>97</v>
      </c>
      <c r="C10" s="116" t="s">
        <v>121</v>
      </c>
      <c r="D10" s="116" t="s">
        <v>122</v>
      </c>
      <c r="E10" s="116" t="s">
        <v>140</v>
      </c>
      <c r="F10" s="140" t="s">
        <v>131</v>
      </c>
      <c r="G10" s="116" t="s">
        <v>123</v>
      </c>
      <c r="H10" s="35" t="s">
        <v>105</v>
      </c>
      <c r="I10" s="35" t="s">
        <v>5</v>
      </c>
      <c r="J10" s="35" t="s">
        <v>6</v>
      </c>
      <c r="K10" s="35" t="s">
        <v>7</v>
      </c>
      <c r="L10" s="104" t="s">
        <v>114</v>
      </c>
      <c r="M10" s="104" t="s">
        <v>138</v>
      </c>
      <c r="N10" s="35" t="s">
        <v>8</v>
      </c>
      <c r="O10" s="35" t="s">
        <v>84</v>
      </c>
      <c r="P10" s="35" t="s">
        <v>81</v>
      </c>
      <c r="Q10" s="117" t="s">
        <v>124</v>
      </c>
      <c r="R10" s="117" t="s">
        <v>98</v>
      </c>
      <c r="S10" s="36" t="s">
        <v>9</v>
      </c>
      <c r="T10" s="36" t="s">
        <v>10</v>
      </c>
    </row>
    <row r="11" spans="1:21" s="30" customFormat="1" x14ac:dyDescent="0.25">
      <c r="A11" s="85">
        <v>3</v>
      </c>
      <c r="B11" s="85" t="s">
        <v>99</v>
      </c>
      <c r="C11" s="86"/>
      <c r="D11" s="86"/>
      <c r="E11" s="86"/>
      <c r="F11" s="141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118"/>
      <c r="R11" s="118"/>
      <c r="S11" s="88"/>
      <c r="T11" s="88"/>
    </row>
    <row r="12" spans="1:21" ht="14.25" customHeight="1" x14ac:dyDescent="0.25">
      <c r="A12" s="37">
        <v>31</v>
      </c>
      <c r="B12" s="37" t="s">
        <v>26</v>
      </c>
      <c r="C12" s="38">
        <v>10735957</v>
      </c>
      <c r="D12" s="38">
        <v>11400322</v>
      </c>
      <c r="E12" s="38">
        <v>11614899</v>
      </c>
      <c r="F12" s="142">
        <f>SUM(G12:P12)</f>
        <v>11800281.630000001</v>
      </c>
      <c r="G12" s="38">
        <f>SUM(G14:G17)</f>
        <v>0</v>
      </c>
      <c r="H12" s="38">
        <f t="shared" ref="H12:P12" si="0">SUM(H14:H17)</f>
        <v>720184.35000000009</v>
      </c>
      <c r="I12" s="38">
        <f t="shared" si="0"/>
        <v>0</v>
      </c>
      <c r="J12" s="38">
        <f t="shared" si="0"/>
        <v>0</v>
      </c>
      <c r="K12" s="38">
        <f t="shared" si="0"/>
        <v>11002458.390000001</v>
      </c>
      <c r="L12" s="38">
        <f t="shared" si="0"/>
        <v>52254.43</v>
      </c>
      <c r="M12" s="38">
        <f t="shared" si="0"/>
        <v>25384.46</v>
      </c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v>12292229</v>
      </c>
      <c r="R12" s="38">
        <v>12580064</v>
      </c>
      <c r="S12" s="39">
        <f>SUM(S13:S20)</f>
        <v>0</v>
      </c>
      <c r="T12" s="39">
        <f>SUM(T13:T20)</f>
        <v>0</v>
      </c>
    </row>
    <row r="13" spans="1:21" ht="14.25" customHeight="1" x14ac:dyDescent="0.2">
      <c r="A13" s="40">
        <v>311</v>
      </c>
      <c r="B13" s="41" t="s">
        <v>27</v>
      </c>
      <c r="C13" s="38"/>
      <c r="D13" s="38"/>
      <c r="E13" s="38"/>
      <c r="F13" s="142"/>
      <c r="G13" s="38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7">
        <v>0</v>
      </c>
      <c r="T13" s="27">
        <v>0</v>
      </c>
    </row>
    <row r="14" spans="1:21" ht="14.25" customHeight="1" x14ac:dyDescent="0.2">
      <c r="A14" s="40">
        <v>3111</v>
      </c>
      <c r="B14" s="43" t="s">
        <v>28</v>
      </c>
      <c r="C14" s="50">
        <v>9024285</v>
      </c>
      <c r="D14" s="50">
        <v>9585962</v>
      </c>
      <c r="E14" s="50">
        <v>9674510</v>
      </c>
      <c r="F14" s="143">
        <f>SUM(G14:P14)</f>
        <v>9682219.5899999999</v>
      </c>
      <c r="G14" s="50"/>
      <c r="H14" s="42">
        <f>346528.95+197044.34+59667.06+2000</f>
        <v>605240.35000000009</v>
      </c>
      <c r="I14" s="42"/>
      <c r="J14" s="42"/>
      <c r="K14" s="42">
        <f>8998393.56+14000</f>
        <v>9012393.5600000005</v>
      </c>
      <c r="L14" s="42">
        <v>44585.68</v>
      </c>
      <c r="M14" s="42">
        <v>20000</v>
      </c>
      <c r="N14" s="42"/>
      <c r="O14" s="42"/>
      <c r="P14" s="42"/>
      <c r="Q14" s="42"/>
      <c r="R14" s="42"/>
      <c r="S14" s="27">
        <v>0</v>
      </c>
      <c r="T14" s="27">
        <v>0</v>
      </c>
    </row>
    <row r="15" spans="1:21" ht="14.25" customHeight="1" x14ac:dyDescent="0.2">
      <c r="A15" s="40">
        <v>3121</v>
      </c>
      <c r="B15" s="41" t="s">
        <v>29</v>
      </c>
      <c r="C15" s="50">
        <v>176161</v>
      </c>
      <c r="D15" s="50">
        <v>189366</v>
      </c>
      <c r="E15" s="50">
        <v>303366</v>
      </c>
      <c r="F15" s="143">
        <f>SUM(G15:P15)</f>
        <v>470886.07</v>
      </c>
      <c r="G15" s="50"/>
      <c r="H15" s="42">
        <f>26500</f>
        <v>26500</v>
      </c>
      <c r="I15" s="42"/>
      <c r="J15" s="42"/>
      <c r="K15" s="42">
        <f>99266.07+38000+28920+19000+110000+120000+18000+6700</f>
        <v>439886.07</v>
      </c>
      <c r="L15" s="42"/>
      <c r="M15" s="42">
        <v>4500</v>
      </c>
      <c r="N15" s="42"/>
      <c r="O15" s="42"/>
      <c r="P15" s="42"/>
      <c r="Q15" s="42"/>
      <c r="R15" s="42"/>
      <c r="S15" s="27">
        <v>0</v>
      </c>
      <c r="T15" s="27">
        <v>0</v>
      </c>
    </row>
    <row r="16" spans="1:21" ht="14.25" customHeight="1" x14ac:dyDescent="0.2">
      <c r="A16" s="40">
        <v>3132</v>
      </c>
      <c r="B16" s="41" t="s">
        <v>30</v>
      </c>
      <c r="C16" s="50">
        <v>1383587</v>
      </c>
      <c r="D16" s="50">
        <v>1463407</v>
      </c>
      <c r="E16" s="50">
        <v>1474155</v>
      </c>
      <c r="F16" s="143">
        <f>SUM(G16:P16)</f>
        <v>1483657.34</v>
      </c>
      <c r="G16" s="50"/>
      <c r="H16" s="42">
        <f>17000+53000+9300+310</f>
        <v>79610</v>
      </c>
      <c r="I16" s="42"/>
      <c r="J16" s="42"/>
      <c r="K16" s="42">
        <f>1394752.08+2200</f>
        <v>1396952.08</v>
      </c>
      <c r="L16" s="42">
        <v>6910.8</v>
      </c>
      <c r="M16" s="42">
        <v>184.46</v>
      </c>
      <c r="N16" s="42"/>
      <c r="O16" s="42"/>
      <c r="P16" s="42"/>
      <c r="Q16" s="42"/>
      <c r="R16" s="42"/>
    </row>
    <row r="17" spans="1:20" ht="14.25" customHeight="1" x14ac:dyDescent="0.2">
      <c r="A17" s="40">
        <v>3133</v>
      </c>
      <c r="B17" s="41" t="s">
        <v>31</v>
      </c>
      <c r="C17" s="50">
        <v>151924</v>
      </c>
      <c r="D17" s="50">
        <v>161586</v>
      </c>
      <c r="E17" s="50">
        <v>162868</v>
      </c>
      <c r="F17" s="143">
        <f>SUM(G17:P17)</f>
        <v>163518.63</v>
      </c>
      <c r="G17" s="50"/>
      <c r="H17" s="42">
        <f>1900+5900+1000+34</f>
        <v>8834</v>
      </c>
      <c r="I17" s="42"/>
      <c r="J17" s="42"/>
      <c r="K17" s="42">
        <f>152972.88+253.8</f>
        <v>153226.68</v>
      </c>
      <c r="L17" s="42">
        <v>757.95</v>
      </c>
      <c r="M17" s="42">
        <v>700</v>
      </c>
      <c r="N17" s="42"/>
      <c r="O17" s="42"/>
      <c r="P17" s="42"/>
      <c r="Q17" s="42"/>
      <c r="R17" s="42"/>
    </row>
    <row r="18" spans="1:20" ht="14.25" hidden="1" customHeight="1" x14ac:dyDescent="0.2">
      <c r="A18" s="40"/>
      <c r="B18" s="41"/>
      <c r="C18" s="42"/>
      <c r="D18" s="42"/>
      <c r="E18" s="42"/>
      <c r="F18" s="1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20" ht="14.25" customHeight="1" x14ac:dyDescent="0.2">
      <c r="A19" s="40"/>
      <c r="B19" s="44"/>
      <c r="C19" s="42"/>
      <c r="D19" s="42"/>
      <c r="E19" s="42"/>
      <c r="F19" s="1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7">
        <v>0</v>
      </c>
      <c r="T19" s="27">
        <v>0</v>
      </c>
    </row>
    <row r="20" spans="1:20" ht="14.25" customHeight="1" x14ac:dyDescent="0.2">
      <c r="A20" s="45">
        <v>32</v>
      </c>
      <c r="B20" s="59" t="s">
        <v>32</v>
      </c>
      <c r="C20" s="46">
        <v>2320714</v>
      </c>
      <c r="D20" s="46">
        <v>2192641</v>
      </c>
      <c r="E20" s="46">
        <v>2354730</v>
      </c>
      <c r="F20" s="145">
        <f>SUM(G20:P20)</f>
        <v>2178297.6</v>
      </c>
      <c r="G20" s="46">
        <f>SUM(G21:G46)</f>
        <v>43840.140000000007</v>
      </c>
      <c r="H20" s="46">
        <f t="shared" ref="H20:P20" si="1">SUM(H21:H46)</f>
        <v>1135404.75</v>
      </c>
      <c r="I20" s="46">
        <f t="shared" si="1"/>
        <v>38850</v>
      </c>
      <c r="J20" s="46">
        <f t="shared" si="1"/>
        <v>437966</v>
      </c>
      <c r="K20" s="46">
        <f t="shared" si="1"/>
        <v>270732.56</v>
      </c>
      <c r="L20" s="46">
        <f t="shared" si="1"/>
        <v>179943.41999999998</v>
      </c>
      <c r="M20" s="46">
        <f t="shared" si="1"/>
        <v>63782.17</v>
      </c>
      <c r="N20" s="46">
        <f t="shared" si="1"/>
        <v>7778.5599999999995</v>
      </c>
      <c r="O20" s="46">
        <f t="shared" si="1"/>
        <v>0</v>
      </c>
      <c r="P20" s="46">
        <f t="shared" si="1"/>
        <v>0</v>
      </c>
      <c r="Q20" s="46">
        <v>2313440</v>
      </c>
      <c r="R20" s="46">
        <v>1944090</v>
      </c>
      <c r="S20" s="27">
        <v>0</v>
      </c>
      <c r="T20" s="27">
        <v>0</v>
      </c>
    </row>
    <row r="21" spans="1:20" ht="14.25" customHeight="1" x14ac:dyDescent="0.25">
      <c r="A21" s="40">
        <v>3211</v>
      </c>
      <c r="B21" s="41" t="s">
        <v>33</v>
      </c>
      <c r="C21" s="42">
        <v>103000</v>
      </c>
      <c r="D21" s="42">
        <v>63939</v>
      </c>
      <c r="E21" s="42">
        <v>86146</v>
      </c>
      <c r="F21" s="144">
        <f t="shared" ref="F21:F46" si="2">SUM(G21:P21)</f>
        <v>95865.580000000016</v>
      </c>
      <c r="G21" s="42">
        <v>6705.62</v>
      </c>
      <c r="H21" s="103">
        <f>43200+1500+4140</f>
        <v>48840</v>
      </c>
      <c r="I21" s="42">
        <v>1900</v>
      </c>
      <c r="J21" s="42"/>
      <c r="K21" s="42"/>
      <c r="L21" s="42">
        <f>4843.42+6800+11200</f>
        <v>22843.42</v>
      </c>
      <c r="M21" s="42">
        <v>15276.54</v>
      </c>
      <c r="N21" s="42">
        <v>300</v>
      </c>
      <c r="O21" s="42"/>
      <c r="P21" s="42"/>
      <c r="Q21" s="42"/>
      <c r="R21" s="42"/>
      <c r="S21" s="39">
        <f>SUM(S22:S72)</f>
        <v>0</v>
      </c>
      <c r="T21" s="39">
        <f>SUM(T22:T72)</f>
        <v>0</v>
      </c>
    </row>
    <row r="22" spans="1:20" ht="14.25" customHeight="1" x14ac:dyDescent="0.2">
      <c r="A22" s="40">
        <v>3212</v>
      </c>
      <c r="B22" s="41" t="s">
        <v>34</v>
      </c>
      <c r="C22" s="42">
        <v>228850</v>
      </c>
      <c r="D22" s="42">
        <v>247639</v>
      </c>
      <c r="E22" s="42">
        <v>248639</v>
      </c>
      <c r="F22" s="144">
        <f t="shared" si="2"/>
        <v>211000</v>
      </c>
      <c r="G22" s="42"/>
      <c r="H22" s="103">
        <f>4000+1000+26000</f>
        <v>31000</v>
      </c>
      <c r="I22" s="42"/>
      <c r="J22" s="42"/>
      <c r="K22" s="42">
        <f>180000</f>
        <v>180000</v>
      </c>
      <c r="L22" s="42"/>
      <c r="M22" s="42"/>
      <c r="N22" s="42"/>
      <c r="O22" s="42"/>
      <c r="P22" s="42"/>
      <c r="Q22" s="42"/>
      <c r="R22" s="42"/>
      <c r="S22" s="27">
        <v>0</v>
      </c>
      <c r="T22" s="27">
        <v>0</v>
      </c>
    </row>
    <row r="23" spans="1:20" ht="14.25" customHeight="1" x14ac:dyDescent="0.2">
      <c r="A23" s="40">
        <v>3213</v>
      </c>
      <c r="B23" s="41" t="s">
        <v>35</v>
      </c>
      <c r="C23" s="42">
        <v>9000</v>
      </c>
      <c r="D23" s="42">
        <v>9400</v>
      </c>
      <c r="E23" s="42">
        <v>11900</v>
      </c>
      <c r="F23" s="144">
        <f t="shared" si="2"/>
        <v>7780</v>
      </c>
      <c r="G23" s="42">
        <v>680</v>
      </c>
      <c r="H23" s="42">
        <f>6000+400</f>
        <v>6400</v>
      </c>
      <c r="I23" s="42">
        <v>700</v>
      </c>
      <c r="J23" s="42"/>
      <c r="K23" s="42"/>
      <c r="L23" s="42"/>
      <c r="M23" s="42"/>
      <c r="N23" s="42"/>
      <c r="O23" s="42"/>
      <c r="P23" s="42"/>
      <c r="Q23" s="42"/>
      <c r="R23" s="42"/>
      <c r="S23" s="27">
        <v>0</v>
      </c>
      <c r="T23" s="27">
        <v>0</v>
      </c>
    </row>
    <row r="24" spans="1:20" ht="14.25" customHeight="1" x14ac:dyDescent="0.2">
      <c r="A24" s="40">
        <v>3214</v>
      </c>
      <c r="B24" s="41" t="s">
        <v>36</v>
      </c>
      <c r="C24" s="42">
        <v>11500</v>
      </c>
      <c r="D24" s="42">
        <v>11500</v>
      </c>
      <c r="E24" s="42">
        <v>11500</v>
      </c>
      <c r="F24" s="144">
        <f t="shared" si="2"/>
        <v>13050</v>
      </c>
      <c r="G24" s="42"/>
      <c r="H24" s="103">
        <v>10800</v>
      </c>
      <c r="I24" s="42">
        <v>2250</v>
      </c>
      <c r="J24" s="42"/>
      <c r="K24" s="42"/>
      <c r="L24" s="42"/>
      <c r="M24" s="42"/>
      <c r="N24" s="42"/>
      <c r="O24" s="42"/>
      <c r="P24" s="42"/>
      <c r="Q24" s="42"/>
      <c r="R24" s="42"/>
    </row>
    <row r="25" spans="1:20" ht="14.25" customHeight="1" x14ac:dyDescent="0.2">
      <c r="A25" s="40">
        <v>3221</v>
      </c>
      <c r="B25" s="41" t="s">
        <v>37</v>
      </c>
      <c r="C25" s="42">
        <v>156700</v>
      </c>
      <c r="D25" s="42">
        <v>188020</v>
      </c>
      <c r="E25" s="42">
        <v>205135</v>
      </c>
      <c r="F25" s="144">
        <f t="shared" si="2"/>
        <v>191163.02</v>
      </c>
      <c r="G25" s="42">
        <f>6846.11+2.22</f>
        <v>6848.33</v>
      </c>
      <c r="H25" s="42">
        <f>151000+3242.75</f>
        <v>154242.75</v>
      </c>
      <c r="I25" s="42">
        <v>6300</v>
      </c>
      <c r="J25" s="42">
        <v>3000</v>
      </c>
      <c r="K25" s="42">
        <f>2600+3000+693.38</f>
        <v>6293.38</v>
      </c>
      <c r="L25" s="42">
        <v>3000</v>
      </c>
      <c r="M25" s="42">
        <v>4000</v>
      </c>
      <c r="N25" s="42">
        <f>200+5000+2278.56</f>
        <v>7478.5599999999995</v>
      </c>
      <c r="O25" s="42"/>
      <c r="P25" s="42"/>
      <c r="Q25" s="42"/>
      <c r="R25" s="42"/>
    </row>
    <row r="26" spans="1:20" ht="14.25" customHeight="1" x14ac:dyDescent="0.2">
      <c r="A26" s="40">
        <v>3222</v>
      </c>
      <c r="B26" s="41" t="s">
        <v>139</v>
      </c>
      <c r="C26" s="42"/>
      <c r="D26" s="42"/>
      <c r="E26" s="42"/>
      <c r="F26" s="144">
        <f t="shared" si="2"/>
        <v>7000</v>
      </c>
      <c r="G26" s="42"/>
      <c r="H26" s="42"/>
      <c r="I26" s="42"/>
      <c r="J26" s="42"/>
      <c r="K26" s="42">
        <v>7000</v>
      </c>
      <c r="L26" s="42"/>
      <c r="M26" s="42"/>
      <c r="N26" s="42"/>
      <c r="O26" s="42"/>
      <c r="P26" s="42"/>
      <c r="Q26" s="42"/>
      <c r="R26" s="42"/>
    </row>
    <row r="27" spans="1:20" ht="14.25" customHeight="1" x14ac:dyDescent="0.2">
      <c r="A27" s="40">
        <v>3223</v>
      </c>
      <c r="B27" s="41" t="s">
        <v>38</v>
      </c>
      <c r="C27" s="42">
        <v>400500</v>
      </c>
      <c r="D27" s="42">
        <v>350500</v>
      </c>
      <c r="E27" s="42">
        <v>379900</v>
      </c>
      <c r="F27" s="144">
        <f t="shared" si="2"/>
        <v>351000</v>
      </c>
      <c r="G27" s="42"/>
      <c r="H27" s="42">
        <v>350000</v>
      </c>
      <c r="I27" s="42">
        <v>1000</v>
      </c>
      <c r="J27" s="42"/>
      <c r="K27" s="42"/>
      <c r="L27" s="42"/>
      <c r="M27" s="42"/>
      <c r="N27" s="42"/>
      <c r="O27" s="42"/>
      <c r="P27" s="42"/>
      <c r="Q27" s="42"/>
      <c r="R27" s="42"/>
    </row>
    <row r="28" spans="1:20" ht="14.25" customHeight="1" x14ac:dyDescent="0.2">
      <c r="A28" s="40">
        <v>3224</v>
      </c>
      <c r="B28" s="41" t="s">
        <v>39</v>
      </c>
      <c r="C28" s="42">
        <v>10000</v>
      </c>
      <c r="D28" s="42">
        <v>10000</v>
      </c>
      <c r="E28" s="42">
        <v>10000</v>
      </c>
      <c r="F28" s="144">
        <f t="shared" si="2"/>
        <v>11310</v>
      </c>
      <c r="G28" s="42"/>
      <c r="H28" s="42">
        <v>10810</v>
      </c>
      <c r="I28" s="42">
        <v>500</v>
      </c>
      <c r="J28" s="42"/>
      <c r="K28" s="42"/>
      <c r="L28" s="42"/>
      <c r="M28" s="42"/>
      <c r="N28" s="42"/>
      <c r="O28" s="42"/>
      <c r="P28" s="42"/>
      <c r="Q28" s="42"/>
      <c r="R28" s="42"/>
    </row>
    <row r="29" spans="1:20" ht="14.25" customHeight="1" x14ac:dyDescent="0.2">
      <c r="A29" s="40">
        <v>3225</v>
      </c>
      <c r="B29" s="41" t="s">
        <v>40</v>
      </c>
      <c r="C29" s="42">
        <v>18000</v>
      </c>
      <c r="D29" s="42">
        <v>18000</v>
      </c>
      <c r="E29" s="42">
        <v>58300</v>
      </c>
      <c r="F29" s="144">
        <f t="shared" si="2"/>
        <v>16800</v>
      </c>
      <c r="G29" s="42"/>
      <c r="H29" s="42">
        <v>14100</v>
      </c>
      <c r="I29" s="42">
        <v>2700</v>
      </c>
      <c r="J29" s="42"/>
      <c r="K29" s="42"/>
      <c r="L29" s="42"/>
      <c r="M29" s="42"/>
      <c r="N29" s="42"/>
      <c r="O29" s="42"/>
      <c r="P29" s="42"/>
      <c r="Q29" s="42"/>
      <c r="R29" s="42"/>
    </row>
    <row r="30" spans="1:20" ht="14.25" customHeight="1" x14ac:dyDescent="0.2">
      <c r="A30" s="40">
        <v>3227</v>
      </c>
      <c r="B30" s="41" t="s">
        <v>41</v>
      </c>
      <c r="C30" s="42">
        <v>3500</v>
      </c>
      <c r="D30" s="42">
        <v>3500</v>
      </c>
      <c r="E30" s="42">
        <v>3500</v>
      </c>
      <c r="F30" s="144">
        <f t="shared" si="2"/>
        <v>3100</v>
      </c>
      <c r="G30" s="42"/>
      <c r="H30" s="42">
        <v>3000</v>
      </c>
      <c r="I30" s="42">
        <v>100</v>
      </c>
      <c r="J30" s="42"/>
      <c r="K30" s="42"/>
      <c r="L30" s="42"/>
      <c r="M30" s="42"/>
      <c r="N30" s="42"/>
      <c r="O30" s="42"/>
      <c r="P30" s="42"/>
      <c r="Q30" s="42"/>
      <c r="R30" s="42"/>
    </row>
    <row r="31" spans="1:20" ht="14.25" customHeight="1" x14ac:dyDescent="0.2">
      <c r="A31" s="40">
        <v>3231</v>
      </c>
      <c r="B31" s="41" t="s">
        <v>42</v>
      </c>
      <c r="C31" s="42">
        <v>34500</v>
      </c>
      <c r="D31" s="42">
        <v>40500</v>
      </c>
      <c r="E31" s="42">
        <v>43500</v>
      </c>
      <c r="F31" s="144">
        <f t="shared" si="2"/>
        <v>42000</v>
      </c>
      <c r="G31" s="42">
        <v>1000</v>
      </c>
      <c r="H31" s="42">
        <v>34000</v>
      </c>
      <c r="I31" s="42">
        <v>1000</v>
      </c>
      <c r="J31" s="42"/>
      <c r="K31" s="42">
        <v>5000</v>
      </c>
      <c r="L31" s="42">
        <v>1000</v>
      </c>
      <c r="M31" s="42"/>
      <c r="N31" s="42"/>
      <c r="O31" s="42"/>
      <c r="P31" s="42"/>
      <c r="Q31" s="42"/>
      <c r="R31" s="42"/>
    </row>
    <row r="32" spans="1:20" ht="14.25" customHeight="1" x14ac:dyDescent="0.2">
      <c r="A32" s="40">
        <v>3232</v>
      </c>
      <c r="B32" s="41" t="s">
        <v>43</v>
      </c>
      <c r="C32" s="42">
        <v>179000</v>
      </c>
      <c r="D32" s="42">
        <v>152000</v>
      </c>
      <c r="E32" s="42">
        <v>147000</v>
      </c>
      <c r="F32" s="144">
        <f t="shared" si="2"/>
        <v>129615.75</v>
      </c>
      <c r="G32" s="42"/>
      <c r="H32" s="42">
        <v>121815.75</v>
      </c>
      <c r="I32" s="42">
        <v>7800</v>
      </c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4.25" customHeight="1" x14ac:dyDescent="0.2">
      <c r="A33" s="40">
        <v>3233</v>
      </c>
      <c r="B33" s="41" t="s">
        <v>44</v>
      </c>
      <c r="C33" s="42">
        <v>3000</v>
      </c>
      <c r="D33" s="42">
        <v>24728</v>
      </c>
      <c r="E33" s="42">
        <v>35528</v>
      </c>
      <c r="F33" s="144">
        <f t="shared" si="2"/>
        <v>75828.13</v>
      </c>
      <c r="G33" s="42"/>
      <c r="H33" s="42">
        <v>1000</v>
      </c>
      <c r="I33" s="42">
        <v>1000</v>
      </c>
      <c r="J33" s="42"/>
      <c r="K33" s="42"/>
      <c r="L33" s="42">
        <f>12000+700+3000+4900+13000+3000+2000+10200+2100+1200</f>
        <v>52100</v>
      </c>
      <c r="M33" s="42">
        <v>21728.13</v>
      </c>
      <c r="N33" s="42"/>
      <c r="O33" s="42"/>
      <c r="P33" s="42"/>
      <c r="Q33" s="42"/>
      <c r="R33" s="42"/>
    </row>
    <row r="34" spans="1:18" ht="14.25" customHeight="1" x14ac:dyDescent="0.2">
      <c r="A34" s="40">
        <v>3234</v>
      </c>
      <c r="B34" s="41" t="s">
        <v>45</v>
      </c>
      <c r="C34" s="42">
        <v>91000</v>
      </c>
      <c r="D34" s="42">
        <v>91000</v>
      </c>
      <c r="E34" s="42">
        <v>90000</v>
      </c>
      <c r="F34" s="144">
        <f t="shared" si="2"/>
        <v>91000</v>
      </c>
      <c r="G34" s="42"/>
      <c r="H34" s="42">
        <v>88000</v>
      </c>
      <c r="I34" s="42">
        <v>3000</v>
      </c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4.25" customHeight="1" x14ac:dyDescent="0.2">
      <c r="A35" s="40">
        <v>3235</v>
      </c>
      <c r="B35" s="41" t="s">
        <v>46</v>
      </c>
      <c r="C35" s="42">
        <v>0</v>
      </c>
      <c r="D35" s="42">
        <v>0</v>
      </c>
      <c r="E35" s="42">
        <v>0</v>
      </c>
      <c r="F35" s="144">
        <f t="shared" si="2"/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4.25" customHeight="1" x14ac:dyDescent="0.2">
      <c r="A36" s="40">
        <v>3236</v>
      </c>
      <c r="B36" s="41" t="s">
        <v>47</v>
      </c>
      <c r="C36" s="42">
        <v>13000</v>
      </c>
      <c r="D36" s="42">
        <v>13000</v>
      </c>
      <c r="E36" s="42">
        <v>13000</v>
      </c>
      <c r="F36" s="144">
        <f t="shared" si="2"/>
        <v>11779</v>
      </c>
      <c r="G36" s="42"/>
      <c r="H36" s="42">
        <v>11779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4.25" customHeight="1" x14ac:dyDescent="0.2">
      <c r="A37" s="40">
        <v>3237</v>
      </c>
      <c r="B37" s="41" t="s">
        <v>48</v>
      </c>
      <c r="C37" s="42">
        <v>73500</v>
      </c>
      <c r="D37" s="42">
        <v>124100</v>
      </c>
      <c r="E37" s="42">
        <v>116500</v>
      </c>
      <c r="F37" s="144">
        <f t="shared" si="2"/>
        <v>96531.959999999992</v>
      </c>
      <c r="G37" s="42"/>
      <c r="H37" s="42">
        <v>25000</v>
      </c>
      <c r="I37" s="42">
        <v>500</v>
      </c>
      <c r="J37" s="42"/>
      <c r="K37" s="42">
        <v>6231.96</v>
      </c>
      <c r="L37" s="42">
        <f>55200+9600</f>
        <v>64800</v>
      </c>
      <c r="M37" s="42"/>
      <c r="N37" s="42"/>
      <c r="O37" s="42"/>
      <c r="P37" s="42"/>
      <c r="Q37" s="42"/>
      <c r="R37" s="42"/>
    </row>
    <row r="38" spans="1:18" ht="14.25" customHeight="1" x14ac:dyDescent="0.2">
      <c r="A38" s="40">
        <v>3238</v>
      </c>
      <c r="B38" s="41" t="s">
        <v>49</v>
      </c>
      <c r="C38" s="42">
        <v>24500</v>
      </c>
      <c r="D38" s="42">
        <v>24500</v>
      </c>
      <c r="E38" s="42">
        <v>24500</v>
      </c>
      <c r="F38" s="144">
        <f t="shared" si="2"/>
        <v>29100</v>
      </c>
      <c r="G38" s="42"/>
      <c r="H38" s="42">
        <f>25600+3000</f>
        <v>28600</v>
      </c>
      <c r="I38" s="42">
        <v>500</v>
      </c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4.25" customHeight="1" x14ac:dyDescent="0.2">
      <c r="A39" s="40">
        <v>3239</v>
      </c>
      <c r="B39" s="41" t="s">
        <v>50</v>
      </c>
      <c r="C39" s="42">
        <v>699700</v>
      </c>
      <c r="D39" s="42">
        <v>635183</v>
      </c>
      <c r="E39" s="42">
        <v>671646</v>
      </c>
      <c r="F39" s="144">
        <f t="shared" si="2"/>
        <v>607206.62</v>
      </c>
      <c r="G39" s="42">
        <v>12310.87</v>
      </c>
      <c r="H39" s="42">
        <f>79000+65000+257.25</f>
        <v>144257.25</v>
      </c>
      <c r="I39" s="42">
        <v>5000</v>
      </c>
      <c r="J39" s="42">
        <f>250000+10000+174966</f>
        <v>434966</v>
      </c>
      <c r="K39" s="42"/>
      <c r="L39" s="42">
        <v>5000</v>
      </c>
      <c r="M39" s="42">
        <v>5672.5</v>
      </c>
      <c r="N39" s="42"/>
      <c r="O39" s="42"/>
      <c r="P39" s="42"/>
      <c r="Q39" s="42"/>
      <c r="R39" s="42"/>
    </row>
    <row r="40" spans="1:18" ht="14.25" customHeight="1" x14ac:dyDescent="0.2">
      <c r="A40" s="40">
        <v>3241</v>
      </c>
      <c r="B40" s="41" t="s">
        <v>51</v>
      </c>
      <c r="C40" s="42">
        <v>145000</v>
      </c>
      <c r="D40" s="42">
        <v>75100</v>
      </c>
      <c r="E40" s="42">
        <v>77100</v>
      </c>
      <c r="F40" s="144">
        <f t="shared" si="2"/>
        <v>70331.27</v>
      </c>
      <c r="G40" s="42">
        <v>9639.59</v>
      </c>
      <c r="H40" s="42">
        <v>5460</v>
      </c>
      <c r="I40" s="42"/>
      <c r="J40" s="42"/>
      <c r="K40" s="42">
        <v>28231.68</v>
      </c>
      <c r="L40" s="42">
        <f>10200+16800</f>
        <v>27000</v>
      </c>
      <c r="M40" s="42"/>
      <c r="N40" s="42"/>
      <c r="O40" s="42"/>
      <c r="P40" s="42"/>
      <c r="Q40" s="42"/>
      <c r="R40" s="42"/>
    </row>
    <row r="41" spans="1:18" ht="14.25" customHeight="1" x14ac:dyDescent="0.2">
      <c r="A41" s="40">
        <v>3291</v>
      </c>
      <c r="B41" s="41" t="s">
        <v>52</v>
      </c>
      <c r="C41" s="42">
        <v>10000</v>
      </c>
      <c r="D41" s="42">
        <v>4411</v>
      </c>
      <c r="E41" s="42">
        <v>4411</v>
      </c>
      <c r="F41" s="144">
        <f t="shared" si="2"/>
        <v>4410.72</v>
      </c>
      <c r="G41" s="42"/>
      <c r="H41" s="42"/>
      <c r="I41" s="42"/>
      <c r="J41" s="42"/>
      <c r="K41" s="42">
        <v>4410.72</v>
      </c>
      <c r="L41" s="42"/>
      <c r="M41" s="42"/>
      <c r="N41" s="42"/>
      <c r="O41" s="42"/>
      <c r="P41" s="42"/>
      <c r="Q41" s="42"/>
      <c r="R41" s="42"/>
    </row>
    <row r="42" spans="1:18" ht="14.25" customHeight="1" x14ac:dyDescent="0.2">
      <c r="A42" s="40">
        <v>3292</v>
      </c>
      <c r="B42" s="41" t="s">
        <v>53</v>
      </c>
      <c r="C42" s="42">
        <v>37300</v>
      </c>
      <c r="D42" s="42">
        <v>27300</v>
      </c>
      <c r="E42" s="42">
        <v>28500</v>
      </c>
      <c r="F42" s="144">
        <f t="shared" si="2"/>
        <v>28400</v>
      </c>
      <c r="G42" s="42"/>
      <c r="H42" s="42">
        <v>28300</v>
      </c>
      <c r="I42" s="42">
        <v>100</v>
      </c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4.25" customHeight="1" x14ac:dyDescent="0.2">
      <c r="A43" s="40">
        <v>3293</v>
      </c>
      <c r="B43" s="41" t="s">
        <v>54</v>
      </c>
      <c r="C43" s="42">
        <v>9000</v>
      </c>
      <c r="D43" s="42">
        <v>25446</v>
      </c>
      <c r="E43" s="42">
        <v>31146</v>
      </c>
      <c r="F43" s="144">
        <f t="shared" si="2"/>
        <v>32146.260000000002</v>
      </c>
      <c r="G43" s="42">
        <v>341.26</v>
      </c>
      <c r="H43" s="42">
        <v>8500</v>
      </c>
      <c r="I43" s="42">
        <v>2000</v>
      </c>
      <c r="J43" s="42"/>
      <c r="K43" s="42"/>
      <c r="L43" s="42">
        <v>4200</v>
      </c>
      <c r="M43" s="42">
        <v>17105</v>
      </c>
      <c r="N43" s="42"/>
      <c r="O43" s="42"/>
      <c r="P43" s="42"/>
      <c r="Q43" s="42"/>
      <c r="R43" s="42"/>
    </row>
    <row r="44" spans="1:18" ht="14.25" customHeight="1" x14ac:dyDescent="0.2">
      <c r="A44" s="40">
        <v>3294</v>
      </c>
      <c r="B44" s="41" t="s">
        <v>55</v>
      </c>
      <c r="C44" s="42">
        <v>1200</v>
      </c>
      <c r="D44" s="42">
        <v>1200</v>
      </c>
      <c r="E44" s="42">
        <v>1600</v>
      </c>
      <c r="F44" s="144">
        <f t="shared" si="2"/>
        <v>2100</v>
      </c>
      <c r="G44" s="42">
        <v>100</v>
      </c>
      <c r="H44" s="42">
        <v>1500</v>
      </c>
      <c r="I44" s="42">
        <v>500</v>
      </c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4.25" customHeight="1" x14ac:dyDescent="0.2">
      <c r="A45" s="40">
        <v>3295</v>
      </c>
      <c r="B45" s="41" t="s">
        <v>56</v>
      </c>
      <c r="C45" s="42">
        <v>22464</v>
      </c>
      <c r="D45" s="42">
        <v>30984</v>
      </c>
      <c r="E45" s="42">
        <v>31373</v>
      </c>
      <c r="F45" s="144">
        <f t="shared" si="2"/>
        <v>31373.200000000001</v>
      </c>
      <c r="G45" s="42"/>
      <c r="H45" s="42"/>
      <c r="I45" s="42">
        <v>1000</v>
      </c>
      <c r="J45" s="42"/>
      <c r="K45" s="42">
        <v>30373.200000000001</v>
      </c>
      <c r="L45" s="42"/>
      <c r="M45" s="42"/>
      <c r="N45" s="42"/>
      <c r="O45" s="42"/>
      <c r="P45" s="42"/>
      <c r="Q45" s="42"/>
      <c r="R45" s="42"/>
    </row>
    <row r="46" spans="1:18" ht="14.25" customHeight="1" x14ac:dyDescent="0.2">
      <c r="A46" s="40">
        <v>3299</v>
      </c>
      <c r="B46" s="41" t="s">
        <v>57</v>
      </c>
      <c r="C46" s="42">
        <v>36500</v>
      </c>
      <c r="D46" s="42">
        <v>20692</v>
      </c>
      <c r="E46" s="42">
        <v>23906</v>
      </c>
      <c r="F46" s="144">
        <f t="shared" si="2"/>
        <v>18406.09</v>
      </c>
      <c r="G46" s="42">
        <v>6214.47</v>
      </c>
      <c r="H46" s="42">
        <v>8000</v>
      </c>
      <c r="I46" s="42">
        <v>1000</v>
      </c>
      <c r="J46" s="42"/>
      <c r="K46" s="42">
        <v>3191.62</v>
      </c>
      <c r="L46" s="42"/>
      <c r="M46" s="42"/>
      <c r="N46" s="42"/>
      <c r="O46" s="42"/>
      <c r="P46" s="42"/>
      <c r="Q46" s="42"/>
      <c r="R46" s="42"/>
    </row>
    <row r="47" spans="1:18" ht="14.25" hidden="1" customHeight="1" x14ac:dyDescent="0.2">
      <c r="A47" s="40"/>
      <c r="B47" s="41"/>
      <c r="C47" s="42"/>
      <c r="D47" s="42"/>
      <c r="E47" s="42"/>
      <c r="F47" s="14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4.25" hidden="1" customHeight="1" x14ac:dyDescent="0.2">
      <c r="A48" s="40"/>
      <c r="B48" s="41"/>
      <c r="C48" s="42"/>
      <c r="D48" s="42"/>
      <c r="E48" s="42"/>
      <c r="F48" s="144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20" ht="14.25" customHeight="1" x14ac:dyDescent="0.2">
      <c r="A49" s="40"/>
      <c r="B49" s="41"/>
      <c r="C49" s="42"/>
      <c r="D49" s="42"/>
      <c r="E49" s="42"/>
      <c r="F49" s="14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7">
        <v>0</v>
      </c>
      <c r="T49" s="27">
        <v>0</v>
      </c>
    </row>
    <row r="50" spans="1:20" ht="14.25" customHeight="1" x14ac:dyDescent="0.2">
      <c r="A50" s="45">
        <v>34</v>
      </c>
      <c r="B50" s="59" t="s">
        <v>58</v>
      </c>
      <c r="C50" s="46">
        <v>9400</v>
      </c>
      <c r="D50" s="46">
        <v>10980</v>
      </c>
      <c r="E50" s="46">
        <v>10780</v>
      </c>
      <c r="F50" s="145">
        <f>SUM(G50:P50)</f>
        <v>9980</v>
      </c>
      <c r="G50" s="46">
        <f>SUM(G51:G53)</f>
        <v>80</v>
      </c>
      <c r="H50" s="46">
        <f t="shared" ref="H50:P50" si="3">SUM(H51:H53)</f>
        <v>6300</v>
      </c>
      <c r="I50" s="46">
        <f t="shared" si="3"/>
        <v>3600</v>
      </c>
      <c r="J50" s="46">
        <f t="shared" si="3"/>
        <v>0</v>
      </c>
      <c r="K50" s="46">
        <f t="shared" si="3"/>
        <v>0</v>
      </c>
      <c r="L50" s="46">
        <f t="shared" si="3"/>
        <v>0</v>
      </c>
      <c r="M50" s="46"/>
      <c r="N50" s="46">
        <f t="shared" si="3"/>
        <v>0</v>
      </c>
      <c r="O50" s="46">
        <f t="shared" si="3"/>
        <v>0</v>
      </c>
      <c r="P50" s="46">
        <f t="shared" si="3"/>
        <v>0</v>
      </c>
      <c r="Q50" s="46">
        <v>9000</v>
      </c>
      <c r="R50" s="46">
        <v>9000</v>
      </c>
      <c r="S50" s="27">
        <v>0</v>
      </c>
      <c r="T50" s="27">
        <v>0</v>
      </c>
    </row>
    <row r="51" spans="1:20" ht="14.25" customHeight="1" x14ac:dyDescent="0.2">
      <c r="A51" s="40">
        <v>3431</v>
      </c>
      <c r="B51" s="41" t="s">
        <v>59</v>
      </c>
      <c r="C51" s="42">
        <v>5200</v>
      </c>
      <c r="D51" s="42">
        <v>5280</v>
      </c>
      <c r="E51" s="42">
        <v>6580</v>
      </c>
      <c r="F51" s="144">
        <f>SUM(G51:P51)</f>
        <v>7080</v>
      </c>
      <c r="G51" s="42">
        <v>80</v>
      </c>
      <c r="H51" s="42">
        <v>5000</v>
      </c>
      <c r="I51" s="42">
        <v>2000</v>
      </c>
      <c r="J51" s="42"/>
      <c r="K51" s="42"/>
      <c r="L51" s="42"/>
      <c r="M51" s="42"/>
      <c r="N51" s="42"/>
      <c r="O51" s="42"/>
      <c r="P51" s="42"/>
      <c r="Q51" s="42"/>
      <c r="R51" s="42"/>
      <c r="S51" s="27">
        <v>0</v>
      </c>
      <c r="T51" s="27">
        <v>0</v>
      </c>
    </row>
    <row r="52" spans="1:20" ht="14.25" customHeight="1" x14ac:dyDescent="0.2">
      <c r="A52" s="40">
        <v>3432</v>
      </c>
      <c r="B52" s="41" t="s">
        <v>94</v>
      </c>
      <c r="C52" s="42">
        <v>2000</v>
      </c>
      <c r="D52" s="42">
        <v>3000</v>
      </c>
      <c r="E52" s="42">
        <v>2000</v>
      </c>
      <c r="F52" s="144">
        <f>SUM(G52:P52)</f>
        <v>100</v>
      </c>
      <c r="G52" s="42"/>
      <c r="H52" s="42"/>
      <c r="I52" s="42">
        <v>100</v>
      </c>
      <c r="J52" s="42"/>
      <c r="K52" s="42"/>
      <c r="L52" s="42"/>
      <c r="M52" s="42"/>
      <c r="N52" s="42"/>
      <c r="O52" s="42"/>
      <c r="P52" s="42"/>
      <c r="Q52" s="42"/>
      <c r="R52" s="42"/>
    </row>
    <row r="53" spans="1:20" ht="14.25" customHeight="1" x14ac:dyDescent="0.2">
      <c r="A53" s="40">
        <v>3433</v>
      </c>
      <c r="B53" s="41" t="s">
        <v>60</v>
      </c>
      <c r="C53" s="42">
        <v>2200</v>
      </c>
      <c r="D53" s="42">
        <v>2700</v>
      </c>
      <c r="E53" s="42">
        <v>2200</v>
      </c>
      <c r="F53" s="144">
        <f>SUM(G53:P53)</f>
        <v>2800</v>
      </c>
      <c r="G53" s="42"/>
      <c r="H53" s="42">
        <v>1300</v>
      </c>
      <c r="I53" s="42">
        <v>1500</v>
      </c>
      <c r="J53" s="42"/>
      <c r="K53" s="42"/>
      <c r="L53" s="42"/>
      <c r="M53" s="42"/>
      <c r="N53" s="42"/>
      <c r="O53" s="42"/>
      <c r="P53" s="42"/>
      <c r="Q53" s="42"/>
      <c r="R53" s="42"/>
      <c r="S53" s="27">
        <v>0</v>
      </c>
      <c r="T53" s="27">
        <v>0</v>
      </c>
    </row>
    <row r="54" spans="1:20" ht="14.25" hidden="1" customHeight="1" x14ac:dyDescent="0.2">
      <c r="A54" s="40"/>
      <c r="B54" s="41"/>
      <c r="C54" s="42"/>
      <c r="D54" s="42"/>
      <c r="E54" s="42"/>
      <c r="F54" s="145">
        <f>SUM(G54:P54)</f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20" ht="14.25" customHeight="1" x14ac:dyDescent="0.2">
      <c r="A55" s="40"/>
      <c r="B55" s="41"/>
      <c r="C55" s="42"/>
      <c r="D55" s="42"/>
      <c r="E55" s="42"/>
      <c r="F55" s="14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20" ht="14.25" customHeight="1" x14ac:dyDescent="0.2">
      <c r="A56" s="45">
        <v>36</v>
      </c>
      <c r="B56" s="47" t="s">
        <v>108</v>
      </c>
      <c r="C56" s="42"/>
      <c r="D56" s="42"/>
      <c r="E56" s="46">
        <v>59932</v>
      </c>
      <c r="F56" s="145">
        <f>SUM(G56:P56)</f>
        <v>4156.57</v>
      </c>
      <c r="G56" s="46"/>
      <c r="H56" s="46"/>
      <c r="I56" s="46"/>
      <c r="J56" s="46"/>
      <c r="K56" s="46">
        <f>SUM(K58+K57)</f>
        <v>0</v>
      </c>
      <c r="L56" s="46">
        <f>SUM(L58+L57)</f>
        <v>4156.57</v>
      </c>
      <c r="M56" s="46"/>
      <c r="N56" s="46"/>
      <c r="O56" s="46"/>
      <c r="P56" s="46"/>
      <c r="Q56" s="46">
        <v>95721</v>
      </c>
      <c r="R56" s="42"/>
    </row>
    <row r="57" spans="1:20" ht="14.25" customHeight="1" x14ac:dyDescent="0.2">
      <c r="A57" s="40">
        <v>3681</v>
      </c>
      <c r="B57" s="41" t="s">
        <v>107</v>
      </c>
      <c r="C57" s="42"/>
      <c r="D57" s="42"/>
      <c r="E57" s="42">
        <v>37295</v>
      </c>
      <c r="F57" s="144">
        <f>SUM(G57:P57)</f>
        <v>2424.67</v>
      </c>
      <c r="G57" s="42"/>
      <c r="H57" s="42"/>
      <c r="I57" s="42"/>
      <c r="J57" s="42"/>
      <c r="K57" s="42"/>
      <c r="L57" s="42">
        <f>692.76+1039.15+692.76</f>
        <v>2424.67</v>
      </c>
      <c r="M57" s="42"/>
      <c r="N57" s="42"/>
      <c r="O57" s="42"/>
      <c r="P57" s="42"/>
      <c r="Q57" s="42"/>
      <c r="R57" s="42"/>
    </row>
    <row r="58" spans="1:20" ht="14.25" customHeight="1" x14ac:dyDescent="0.2">
      <c r="A58" s="40">
        <v>3693</v>
      </c>
      <c r="B58" s="41" t="s">
        <v>109</v>
      </c>
      <c r="C58" s="42"/>
      <c r="D58" s="42"/>
      <c r="E58" s="42">
        <v>22637</v>
      </c>
      <c r="F58" s="144">
        <f>SUM(G58:P58)</f>
        <v>1731.9</v>
      </c>
      <c r="G58" s="42"/>
      <c r="H58" s="42"/>
      <c r="I58" s="42"/>
      <c r="J58" s="42"/>
      <c r="K58" s="42"/>
      <c r="L58" s="42">
        <v>1731.9</v>
      </c>
      <c r="M58" s="42"/>
      <c r="N58" s="42"/>
      <c r="O58" s="42"/>
      <c r="P58" s="42"/>
      <c r="Q58" s="42"/>
      <c r="R58" s="42"/>
    </row>
    <row r="59" spans="1:20" ht="14.25" customHeight="1" x14ac:dyDescent="0.2">
      <c r="A59" s="40"/>
      <c r="B59" s="41"/>
      <c r="C59" s="42"/>
      <c r="D59" s="42"/>
      <c r="E59" s="42"/>
      <c r="F59" s="144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20" ht="14.25" customHeight="1" x14ac:dyDescent="0.2">
      <c r="A60" s="40"/>
      <c r="B60" s="41"/>
      <c r="C60" s="42"/>
      <c r="D60" s="42"/>
      <c r="E60" s="42"/>
      <c r="F60" s="144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27">
        <v>0</v>
      </c>
      <c r="T60" s="27">
        <v>0</v>
      </c>
    </row>
    <row r="61" spans="1:20" ht="14.25" customHeight="1" x14ac:dyDescent="0.2">
      <c r="A61" s="45">
        <v>42</v>
      </c>
      <c r="B61" s="47" t="s">
        <v>61</v>
      </c>
      <c r="C61" s="46">
        <v>104000</v>
      </c>
      <c r="D61" s="46">
        <v>106000</v>
      </c>
      <c r="E61" s="46">
        <v>185775</v>
      </c>
      <c r="F61" s="145">
        <f>SUM(G61:P61)</f>
        <v>143099.35999999999</v>
      </c>
      <c r="G61" s="46">
        <f t="shared" ref="G61:L61" si="4">SUM(G62:G67)</f>
        <v>15000</v>
      </c>
      <c r="H61" s="46">
        <f t="shared" si="4"/>
        <v>61282.65</v>
      </c>
      <c r="I61" s="46">
        <f t="shared" si="4"/>
        <v>38100</v>
      </c>
      <c r="J61" s="46">
        <f t="shared" si="4"/>
        <v>0</v>
      </c>
      <c r="K61" s="46">
        <f t="shared" si="4"/>
        <v>15000</v>
      </c>
      <c r="L61" s="46">
        <f t="shared" si="4"/>
        <v>0</v>
      </c>
      <c r="M61" s="46"/>
      <c r="N61" s="46">
        <f>SUM(N62:N67)</f>
        <v>13716.71</v>
      </c>
      <c r="O61" s="46">
        <f>SUM(O62:O70)</f>
        <v>0</v>
      </c>
      <c r="P61" s="46">
        <f>SUM(P62:P70)</f>
        <v>0</v>
      </c>
      <c r="Q61" s="46">
        <v>207550</v>
      </c>
      <c r="R61" s="46">
        <v>100000</v>
      </c>
      <c r="S61" s="27">
        <v>0</v>
      </c>
      <c r="T61" s="27">
        <v>0</v>
      </c>
    </row>
    <row r="62" spans="1:20" ht="14.25" customHeight="1" x14ac:dyDescent="0.2">
      <c r="A62" s="40">
        <v>4221</v>
      </c>
      <c r="B62" s="43" t="s">
        <v>62</v>
      </c>
      <c r="C62" s="42">
        <v>30000</v>
      </c>
      <c r="D62" s="42">
        <v>46000</v>
      </c>
      <c r="E62" s="42">
        <v>123775</v>
      </c>
      <c r="F62" s="144">
        <f t="shared" ref="F62:F67" si="5">SUM(G62:P62)</f>
        <v>82214.959999999992</v>
      </c>
      <c r="G62" s="42">
        <v>15000</v>
      </c>
      <c r="H62" s="42">
        <v>19998.25</v>
      </c>
      <c r="I62" s="42">
        <v>35000</v>
      </c>
      <c r="J62" s="42"/>
      <c r="K62" s="42"/>
      <c r="L62" s="42"/>
      <c r="M62" s="42"/>
      <c r="N62" s="42">
        <f>3116.71+9100</f>
        <v>12216.71</v>
      </c>
      <c r="O62" s="42"/>
      <c r="P62" s="42"/>
      <c r="Q62" s="42"/>
      <c r="R62" s="42"/>
      <c r="S62" s="27">
        <v>0</v>
      </c>
      <c r="T62" s="27">
        <v>0</v>
      </c>
    </row>
    <row r="63" spans="1:20" ht="14.25" customHeight="1" x14ac:dyDescent="0.2">
      <c r="A63" s="40">
        <v>4222</v>
      </c>
      <c r="B63" s="43" t="s">
        <v>86</v>
      </c>
      <c r="C63" s="42">
        <v>0</v>
      </c>
      <c r="D63" s="42">
        <v>1000</v>
      </c>
      <c r="E63" s="42">
        <v>1000</v>
      </c>
      <c r="F63" s="144">
        <f t="shared" si="5"/>
        <v>1000</v>
      </c>
      <c r="G63" s="42"/>
      <c r="H63" s="42"/>
      <c r="I63" s="42">
        <v>1000</v>
      </c>
      <c r="J63" s="42"/>
      <c r="K63" s="42"/>
      <c r="L63" s="42"/>
      <c r="M63" s="42"/>
      <c r="N63" s="42"/>
      <c r="O63" s="42"/>
      <c r="P63" s="42"/>
      <c r="Q63" s="42"/>
      <c r="R63" s="42"/>
    </row>
    <row r="64" spans="1:20" ht="14.25" customHeight="1" x14ac:dyDescent="0.2">
      <c r="A64" s="40">
        <v>4223</v>
      </c>
      <c r="B64" s="43" t="s">
        <v>67</v>
      </c>
      <c r="C64" s="42">
        <v>40000</v>
      </c>
      <c r="D64" s="42">
        <v>30000</v>
      </c>
      <c r="E64" s="42">
        <v>30000</v>
      </c>
      <c r="F64" s="144">
        <f t="shared" si="5"/>
        <v>29293.65</v>
      </c>
      <c r="G64" s="42"/>
      <c r="H64" s="42">
        <v>29293.65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20" ht="14.25" customHeight="1" x14ac:dyDescent="0.2">
      <c r="A65" s="40">
        <v>4226</v>
      </c>
      <c r="B65" s="43" t="s">
        <v>87</v>
      </c>
      <c r="C65" s="42">
        <v>20000</v>
      </c>
      <c r="D65" s="42">
        <v>20000</v>
      </c>
      <c r="E65" s="42">
        <v>11000</v>
      </c>
      <c r="F65" s="144">
        <f t="shared" si="5"/>
        <v>9994.7099999999991</v>
      </c>
      <c r="G65" s="42"/>
      <c r="H65" s="42">
        <v>9994.7099999999991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20" ht="27.75" customHeight="1" x14ac:dyDescent="0.2">
      <c r="A66" s="40">
        <v>4227</v>
      </c>
      <c r="B66" s="60" t="s">
        <v>65</v>
      </c>
      <c r="C66" s="42">
        <v>10000</v>
      </c>
      <c r="D66" s="42">
        <v>5000</v>
      </c>
      <c r="E66" s="42">
        <v>3000</v>
      </c>
      <c r="F66" s="144">
        <f t="shared" si="5"/>
        <v>2000</v>
      </c>
      <c r="G66" s="42"/>
      <c r="H66" s="42"/>
      <c r="I66" s="42">
        <v>2000</v>
      </c>
      <c r="J66" s="42"/>
      <c r="K66" s="42"/>
      <c r="L66" s="42"/>
      <c r="M66" s="42"/>
      <c r="N66" s="42"/>
      <c r="O66" s="42"/>
      <c r="P66" s="42"/>
      <c r="Q66" s="42"/>
      <c r="R66" s="42"/>
    </row>
    <row r="67" spans="1:20" ht="14.25" customHeight="1" x14ac:dyDescent="0.2">
      <c r="A67" s="40">
        <v>4241</v>
      </c>
      <c r="B67" s="43" t="s">
        <v>64</v>
      </c>
      <c r="C67" s="42">
        <v>4000</v>
      </c>
      <c r="D67" s="42">
        <v>4000</v>
      </c>
      <c r="E67" s="42">
        <v>17000</v>
      </c>
      <c r="F67" s="144">
        <f t="shared" si="5"/>
        <v>18596.04</v>
      </c>
      <c r="G67" s="42"/>
      <c r="H67" s="42">
        <v>1996.04</v>
      </c>
      <c r="I67" s="42">
        <v>100</v>
      </c>
      <c r="J67" s="42"/>
      <c r="K67" s="42">
        <v>15000</v>
      </c>
      <c r="L67" s="42"/>
      <c r="M67" s="42"/>
      <c r="N67" s="42">
        <v>1500</v>
      </c>
      <c r="O67" s="42"/>
      <c r="P67" s="42"/>
      <c r="Q67" s="42"/>
      <c r="R67" s="42"/>
    </row>
    <row r="68" spans="1:20" ht="14.25" customHeight="1" x14ac:dyDescent="0.2">
      <c r="A68" s="45">
        <v>45</v>
      </c>
      <c r="B68" s="59" t="s">
        <v>88</v>
      </c>
      <c r="C68" s="46">
        <v>400000</v>
      </c>
      <c r="D68" s="46">
        <v>402422</v>
      </c>
      <c r="E68" s="46">
        <v>350000</v>
      </c>
      <c r="F68" s="145">
        <f>SUM(G68:P68)</f>
        <v>410511</v>
      </c>
      <c r="G68" s="46">
        <f>SUM(G69:G70)</f>
        <v>0</v>
      </c>
      <c r="H68" s="46">
        <f>SUM(H69:H70)</f>
        <v>410511</v>
      </c>
      <c r="I68" s="42"/>
      <c r="J68" s="42"/>
      <c r="K68" s="42"/>
      <c r="L68" s="42"/>
      <c r="M68" s="42"/>
      <c r="N68" s="42"/>
      <c r="O68" s="42"/>
      <c r="P68" s="42"/>
      <c r="Q68" s="46">
        <v>700000</v>
      </c>
      <c r="R68" s="46">
        <v>500000</v>
      </c>
    </row>
    <row r="69" spans="1:20" ht="14.25" customHeight="1" x14ac:dyDescent="0.2">
      <c r="A69" s="40">
        <v>4511</v>
      </c>
      <c r="B69" s="43" t="s">
        <v>63</v>
      </c>
      <c r="C69" s="42">
        <v>400000</v>
      </c>
      <c r="D69" s="42">
        <v>352422</v>
      </c>
      <c r="E69" s="42">
        <v>284850</v>
      </c>
      <c r="F69" s="144">
        <f>SUM(G69:P69)</f>
        <v>345511</v>
      </c>
      <c r="G69" s="42"/>
      <c r="H69" s="42">
        <v>345511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20" ht="14.25" customHeight="1" x14ac:dyDescent="0.2">
      <c r="A70" s="48">
        <v>4521</v>
      </c>
      <c r="B70" s="49" t="s">
        <v>106</v>
      </c>
      <c r="C70" s="50"/>
      <c r="D70" s="42">
        <v>50000</v>
      </c>
      <c r="E70" s="42">
        <v>65150</v>
      </c>
      <c r="F70" s="144">
        <f>SUM(G70:P70)</f>
        <v>65000</v>
      </c>
      <c r="G70" s="50"/>
      <c r="H70" s="50">
        <v>65000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20" ht="14.25" customHeight="1" x14ac:dyDescent="0.2">
      <c r="A71" s="51"/>
      <c r="B71" s="25" t="s">
        <v>11</v>
      </c>
      <c r="C71" s="52">
        <f>SUM(C14:C17)+SUM(C21:C46)+SUM(C51:C53)+SUM(C62:C67)+C69</f>
        <v>13570071</v>
      </c>
      <c r="D71" s="52">
        <v>14112364</v>
      </c>
      <c r="E71" s="52">
        <f>SUM(E14:E17)+SUM(E21:E46)+SUM(E51:E53)+SUM(E62:E67)+E69+E70+SUM(E57:E58)</f>
        <v>14576116</v>
      </c>
      <c r="F71" s="146">
        <f>SUM(F14:F17)+SUM(F21:F46)+SUM(F51:F53)+SUM(F62:F67)+F69+F70+SUM(F57:F58)</f>
        <v>14546326.16</v>
      </c>
      <c r="G71" s="52">
        <f>SUM(G14:G17)+SUM(G21:G46)+SUM(G51:G53)+SUM(G62:G67)+G68</f>
        <v>58920.140000000007</v>
      </c>
      <c r="H71" s="52">
        <f>SUM(H14:H17)+SUM(H21:H46)+SUM(H51:H53)+SUM(H62:H67)+H68</f>
        <v>2333682.75</v>
      </c>
      <c r="I71" s="52">
        <f t="shared" ref="I71:P71" si="6">SUM(I14:I17)+SUM(I21:I46)+SUM(I51:I53)+SUM(I62:I69)</f>
        <v>80550</v>
      </c>
      <c r="J71" s="52">
        <f t="shared" si="6"/>
        <v>437966</v>
      </c>
      <c r="K71" s="52">
        <f>SUM(K14:K17)+SUM(K21:K46)+SUM(K51:K53)+SUM(K62:K69)+SUM(K57:K58)</f>
        <v>11288190.950000001</v>
      </c>
      <c r="L71" s="52">
        <f>SUM(L14:L17)+SUM(L21:L46)+SUM(L51:L53)+SUM(L62:L69)+SUM(L57:L58)</f>
        <v>236354.41999999998</v>
      </c>
      <c r="M71" s="52">
        <f>SUM(M14:M17)+SUM(M21:M46)+SUM(M51:M53)+SUM(M62:M69)+SUM(M57:M58)</f>
        <v>89166.63</v>
      </c>
      <c r="N71" s="52">
        <f t="shared" si="6"/>
        <v>21495.269999999997</v>
      </c>
      <c r="O71" s="52">
        <f t="shared" si="6"/>
        <v>0</v>
      </c>
      <c r="P71" s="52">
        <f t="shared" si="6"/>
        <v>0</v>
      </c>
      <c r="Q71" s="52">
        <f>SUM(Q12+Q20+Q50+Q61+Q68+Q56)</f>
        <v>15617940</v>
      </c>
      <c r="R71" s="52">
        <f>SUM(R12+R20+R50+R61+R68)</f>
        <v>15133154</v>
      </c>
      <c r="S71" s="27">
        <v>0</v>
      </c>
      <c r="T71" s="27">
        <v>0</v>
      </c>
    </row>
    <row r="72" spans="1:20" ht="14.25" customHeight="1" x14ac:dyDescent="0.2">
      <c r="A72" s="53"/>
      <c r="B72" s="54" t="s">
        <v>12</v>
      </c>
      <c r="C72" s="52">
        <f>SUM(C12+C20+C50+C61+C68)</f>
        <v>13570071</v>
      </c>
      <c r="D72" s="52">
        <v>14112364</v>
      </c>
      <c r="E72" s="52">
        <f>SUM(E12+E20+E50+E61+E68+E56)</f>
        <v>14576116</v>
      </c>
      <c r="F72" s="146">
        <f>SUM(F12+F20+F50+F61+F68+F56)</f>
        <v>14546326.16</v>
      </c>
      <c r="G72" s="52">
        <f>SUM(G12+G20+G50+G61+G68)</f>
        <v>58920.140000000007</v>
      </c>
      <c r="H72" s="52">
        <f>SUM(H12+H20+H50+H61+H68)</f>
        <v>2333682.75</v>
      </c>
      <c r="I72" s="52">
        <f t="shared" ref="I72:P72" si="7">SUM(I12+I20+I50+I61)</f>
        <v>80550</v>
      </c>
      <c r="J72" s="52">
        <f t="shared" si="7"/>
        <v>437966</v>
      </c>
      <c r="K72" s="52">
        <f>SUM(K12+K20+K50+K61+K56)</f>
        <v>11288190.950000001</v>
      </c>
      <c r="L72" s="52">
        <f>SUM(L12+L20+L50+L61+L56)</f>
        <v>236354.41999999998</v>
      </c>
      <c r="M72" s="52">
        <f>SUM(M12+M20+M50+M61+M56)</f>
        <v>89166.63</v>
      </c>
      <c r="N72" s="52">
        <f t="shared" si="7"/>
        <v>21495.269999999997</v>
      </c>
      <c r="O72" s="52">
        <f t="shared" si="7"/>
        <v>0</v>
      </c>
      <c r="P72" s="52">
        <f t="shared" si="7"/>
        <v>0</v>
      </c>
      <c r="Q72" s="52">
        <f>Q12+Q20+Q50+Q61+Q68+Q56</f>
        <v>15617940</v>
      </c>
      <c r="R72" s="52">
        <f>R12+R20+R50+R61+R68</f>
        <v>15133154</v>
      </c>
      <c r="S72" s="27">
        <v>0</v>
      </c>
      <c r="T72" s="27">
        <v>0</v>
      </c>
    </row>
  </sheetData>
  <mergeCells count="1">
    <mergeCell ref="A1:P1"/>
  </mergeCells>
  <pageMargins left="0.19685039370078741" right="0.19685039370078741" top="0" bottom="0" header="0.70866141732283472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DIO-2017</vt:lpstr>
      <vt:lpstr>FP PiP 1-2017</vt:lpstr>
      <vt:lpstr>FP PiP 2-2018-19</vt:lpstr>
      <vt:lpstr>FP Ril-2017-18-19</vt:lpstr>
      <vt:lpstr>'FP Ril-2017-18-19'!Ispis_naslova</vt:lpstr>
      <vt:lpstr>'FP PiP 1-2017'!Podrucje_ispisa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2017-11-29T12:51:53Z</cp:lastPrinted>
  <dcterms:created xsi:type="dcterms:W3CDTF">1996-10-14T23:33:28Z</dcterms:created>
  <dcterms:modified xsi:type="dcterms:W3CDTF">2018-01-18T09:16:36Z</dcterms:modified>
</cp:coreProperties>
</file>